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hidePivotFieldList="1"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ource Pages/res/"/>
    </mc:Choice>
  </mc:AlternateContent>
  <xr:revisionPtr revIDLastSave="0" documentId="8_{5B92B604-F830-48FC-8F48-FFC98F398665}" xr6:coauthVersionLast="47" xr6:coauthVersionMax="47" xr10:uidLastSave="{00000000-0000-0000-0000-000000000000}"/>
  <workbookProtection workbookAlgorithmName="SHA-512" workbookHashValue="LqIpRKb4rwGHtPaclww44WqZu3bIuQNKdV750MgMImq+bSv6hpMoNiri+0blann1fau8JYLNyNzE/GS+rifVgg==" workbookSaltValue="URBiADWhV5wr2t3gBA71UA==" workbookSpinCount="100000" lockStructure="1"/>
  <bookViews>
    <workbookView xWindow="-120" yWindow="-120" windowWidth="29040" windowHeight="15720" xr2:uid="{E74DA437-D970-456F-A7D7-E4124A591AC5}"/>
  </bookViews>
  <sheets>
    <sheet name="START HERE" sheetId="21" r:id="rId1"/>
    <sheet name="Manual J Updates" sheetId="38" r:id="rId2"/>
    <sheet name="Project Information" sheetId="13" r:id="rId3"/>
    <sheet name="Work Scope" sheetId="14" r:id="rId4"/>
    <sheet name="Data Entry TR Review" sheetId="15" state="hidden" r:id="rId5"/>
    <sheet name="Electrification" sheetId="22" r:id="rId6"/>
    <sheet name="Project Score" sheetId="20" state="hidden" r:id="rId7"/>
    <sheet name="Lists" sheetId="2" state="hidden" r:id="rId8"/>
    <sheet name="HVAC Tier 2 Incentive Table" sheetId="17" state="hidden" r:id="rId9"/>
    <sheet name="Ancillary Costs" sheetId="18" r:id="rId10"/>
    <sheet name="Disclaimer Form" sheetId="24" r:id="rId11"/>
    <sheet name="Test Form" sheetId="27" r:id="rId12"/>
    <sheet name="Old Test Form" sheetId="25" state="hidden" r:id="rId13"/>
    <sheet name="HVAC Test Form" sheetId="37" r:id="rId14"/>
    <sheet name="WH Bill Analysis" sheetId="32" r:id="rId15"/>
    <sheet name="Dashboard_FS (2)" sheetId="33" state="hidden" r:id="rId16"/>
    <sheet name="Algorithms_FS (2)" sheetId="34" state="hidden" r:id="rId17"/>
    <sheet name="Backup_FS (2)" sheetId="35" state="hidden" r:id="rId18"/>
    <sheet name="WNCF Form" sheetId="19" r:id="rId19"/>
    <sheet name="Measures" sheetId="12" state="hidden" r:id="rId20"/>
    <sheet name="HE-PY26 Pricing" sheetId="16" r:id="rId21"/>
    <sheet name="H&amp;S-PY26 Pricing" sheetId="23" r:id="rId22"/>
    <sheet name="Revisions" sheetId="2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16" hidden="1">'Algorithms_FS (2)'!$A$1:$J$910</definedName>
    <definedName name="AC" localSheetId="9">#REF!</definedName>
    <definedName name="AC" localSheetId="20">#REF!</definedName>
    <definedName name="AC" localSheetId="8">#REF!</definedName>
    <definedName name="AC" localSheetId="19">#REF!</definedName>
    <definedName name="AC">#REF!</definedName>
    <definedName name="AF" localSheetId="9">#REF!</definedName>
    <definedName name="AF" localSheetId="20">#REF!</definedName>
    <definedName name="AF" localSheetId="19">#REF!</definedName>
    <definedName name="AF">#REF!</definedName>
    <definedName name="AGcote" localSheetId="9">#REF!</definedName>
    <definedName name="AGcote" localSheetId="20">#REF!</definedName>
    <definedName name="AGcote">#REF!</definedName>
    <definedName name="AGF_Amt" localSheetId="9">#REF!</definedName>
    <definedName name="AGF_Amt" localSheetId="20">#REF!</definedName>
    <definedName name="AGF_Amt">#REF!</definedName>
    <definedName name="AGF_OB_Amt" localSheetId="9">#REF!</definedName>
    <definedName name="AGF_OB_Amt" localSheetId="20">#REF!</definedName>
    <definedName name="AGF_OB_Amt">#REF!</definedName>
    <definedName name="AHP_Amt" localSheetId="9">#REF!</definedName>
    <definedName name="AHP_Amt" localSheetId="20">#REF!</definedName>
    <definedName name="AHP_Amt">#REF!</definedName>
    <definedName name="All">[1]List!$E$27:$E$31</definedName>
    <definedName name="Alls" localSheetId="9">#REF!</definedName>
    <definedName name="Alls" localSheetId="20">#REF!</definedName>
    <definedName name="Alls" localSheetId="8">#REF!</definedName>
    <definedName name="Alls" localSheetId="19">#REF!</definedName>
    <definedName name="Alls">#REF!</definedName>
    <definedName name="Annual_Dollar_Savings" localSheetId="9">#REF!</definedName>
    <definedName name="Annual_Dollar_Savings" localSheetId="20">#REF!</definedName>
    <definedName name="Annual_Dollar_Savings" localSheetId="19">#REF!</definedName>
    <definedName name="Annual_Dollar_Savings">#REF!</definedName>
    <definedName name="ASHP">[1]List!$A$23:$A$27</definedName>
    <definedName name="ASHPNAs" localSheetId="9">#REF!</definedName>
    <definedName name="ASHPNAs" localSheetId="20">#REF!</definedName>
    <definedName name="ASHPNAs" localSheetId="8">#REF!</definedName>
    <definedName name="ASHPNAs" localSheetId="19">#REF!</definedName>
    <definedName name="ASHPNAs">#REF!</definedName>
    <definedName name="ASHPs" localSheetId="9">#REF!</definedName>
    <definedName name="ASHPs" localSheetId="20">#REF!</definedName>
    <definedName name="ASHPs" localSheetId="19">#REF!</definedName>
    <definedName name="ASHPs">#REF!</definedName>
    <definedName name="Assign_Hemi_To_Contractor" localSheetId="9">#REF!</definedName>
    <definedName name="Assign_Hemi_To_Contractor" localSheetId="20">#REF!</definedName>
    <definedName name="Assign_Hemi_To_Contractor" localSheetId="19">#REF!</definedName>
    <definedName name="Assign_Hemi_To_Contractor">#REF!</definedName>
    <definedName name="Attic_Flat">[1]List!$E$9:$E$12</definedName>
    <definedName name="AtticFlats" localSheetId="9">#REF!</definedName>
    <definedName name="AtticFlats" localSheetId="20">#REF!</definedName>
    <definedName name="AtticFlats" localSheetId="8">#REF!</definedName>
    <definedName name="AtticFlats" localSheetId="19">#REF!</definedName>
    <definedName name="AtticFlats">#REF!</definedName>
    <definedName name="Attics" localSheetId="9">#REF!</definedName>
    <definedName name="Attics" localSheetId="20">#REF!</definedName>
    <definedName name="Attics" localSheetId="19">#REF!</definedName>
    <definedName name="Attics">#REF!</definedName>
    <definedName name="Awful">[1]List!$E$22:$E$25</definedName>
    <definedName name="Baseline">[2]Lookups!$H$91:$I$93</definedName>
    <definedName name="Basement">[1]List!$C$2:$C$6</definedName>
    <definedName name="Batt">[1]List!$E$14:$E$17</definedName>
    <definedName name="Batts" localSheetId="9">#REF!</definedName>
    <definedName name="Batts" localSheetId="20">#REF!</definedName>
    <definedName name="Batts" localSheetId="8">#REF!</definedName>
    <definedName name="Batts" localSheetId="19">#REF!</definedName>
    <definedName name="Batts">#REF!</definedName>
    <definedName name="BldgList">[2]Lookups!$B$18:$B$41</definedName>
    <definedName name="BldgTypes" localSheetId="16">[3]MeasureList!$B$36</definedName>
    <definedName name="BldgTypes" localSheetId="17">[3]MeasureList!$B$36</definedName>
    <definedName name="BldgTypes" localSheetId="15">[3]MeasureList!$B$36</definedName>
    <definedName name="BldgTypes" localSheetId="14">[3]MeasureList!$B$36</definedName>
    <definedName name="BldgTypes">[4]MeasureList!$B$36</definedName>
    <definedName name="BldSysArray" localSheetId="16">#REF!</definedName>
    <definedName name="BldSysArray" localSheetId="17">#REF!</definedName>
    <definedName name="BldSysArray" localSheetId="15">#REF!</definedName>
    <definedName name="BldSysArray" localSheetId="14">#REF!</definedName>
    <definedName name="BldSysArray">#REF!</definedName>
    <definedName name="Bsmt" localSheetId="9">#REF!</definedName>
    <definedName name="Bsmt" localSheetId="20">#REF!</definedName>
    <definedName name="Bsmt" localSheetId="8">#REF!</definedName>
    <definedName name="Bsmt" localSheetId="19">#REF!</definedName>
    <definedName name="Bsmt">#REF!</definedName>
    <definedName name="BuildingType">[2]Lookups!$A$18:$P$41</definedName>
    <definedName name="BuildingType2">[2]Lookups!$B$18:$P$41</definedName>
    <definedName name="BuildingType2Cols">[2]Lookups!$B$16:$M$16</definedName>
    <definedName name="BuildingTypeDD">[2]Lookups!$A$18:$A$41</definedName>
    <definedName name="BuildingTypes" localSheetId="16">'[5]Lookup Info'!$F$2:$F$34</definedName>
    <definedName name="BuildingTypes" localSheetId="17">'[5]Lookup Info'!$F$2:$F$34</definedName>
    <definedName name="BuildingTypes" localSheetId="15">'[5]Lookup Info'!$F$2:$F$34</definedName>
    <definedName name="BuildingTypes" localSheetId="14">'[5]Lookup Info'!$F$2:$F$34</definedName>
    <definedName name="BuildingTypes">'[6]Lookup Info'!$F$2:$F$34</definedName>
    <definedName name="CAC" localSheetId="9">[7]Lists!$A$35:$A$41</definedName>
    <definedName name="CAC" localSheetId="10">[8]Lists!$A$36:$A$43</definedName>
    <definedName name="CAC" localSheetId="21">[8]Lists!$A$36:$A$43</definedName>
    <definedName name="CAC" localSheetId="20">[9]Lists!$A$35:$A$41</definedName>
    <definedName name="CAC" localSheetId="13">[10]Lists!$A$36:$A$42</definedName>
    <definedName name="CAC" localSheetId="8">[11]Lists!$A$36:$A$43</definedName>
    <definedName name="CAC" localSheetId="12">[8]Lists!$A$36:$A$43</definedName>
    <definedName name="CAC" localSheetId="18">[8]Lists!$A$36:$A$43</definedName>
    <definedName name="CAC">[10]Lists!$A$36:$A$42</definedName>
    <definedName name="CC" localSheetId="9">#REF!</definedName>
    <definedName name="CC" localSheetId="20">#REF!</definedName>
    <definedName name="CC" localSheetId="8">#REF!</definedName>
    <definedName name="CC" localSheetId="19">#REF!</definedName>
    <definedName name="CC">#REF!</definedName>
    <definedName name="Cellulose">[1]List!$E$15:$E$16</definedName>
    <definedName name="Celluloses" localSheetId="9">#REF!</definedName>
    <definedName name="Celluloses" localSheetId="20">#REF!</definedName>
    <definedName name="Celluloses" localSheetId="8">#REF!</definedName>
    <definedName name="Celluloses" localSheetId="19">#REF!</definedName>
    <definedName name="Celluloses">#REF!</definedName>
    <definedName name="CFL">[1]List!$A$8:$A$10</definedName>
    <definedName name="CFLs" localSheetId="9">#REF!</definedName>
    <definedName name="CFLs" localSheetId="20">#REF!</definedName>
    <definedName name="CFLs" localSheetId="8">#REF!</definedName>
    <definedName name="CFLs" localSheetId="19">#REF!</definedName>
    <definedName name="CFLs">#REF!</definedName>
    <definedName name="ClimateZone">[2]Lookups!$B$70:$G$86</definedName>
    <definedName name="Closed_Cell_SPF" localSheetId="9">#REF!</definedName>
    <definedName name="Closed_Cell_SPF" localSheetId="20">#REF!</definedName>
    <definedName name="Closed_Cell_SPF" localSheetId="8">#REF!</definedName>
    <definedName name="Closed_Cell_SPF" localSheetId="19">#REF!</definedName>
    <definedName name="Closed_Cell_SPF">#REF!</definedName>
    <definedName name="ClosedCell" localSheetId="9">#REF!</definedName>
    <definedName name="ClosedCell" localSheetId="20">#REF!</definedName>
    <definedName name="ClosedCell" localSheetId="19">#REF!</definedName>
    <definedName name="ClosedCell">#REF!</definedName>
    <definedName name="CoincidentDiversity" localSheetId="16">'[5]Lookup Info'!$R$2:$R$4</definedName>
    <definedName name="CoincidentDiversity" localSheetId="17">'[5]Lookup Info'!$R$2:$R$4</definedName>
    <definedName name="CoincidentDiversity" localSheetId="15">'[5]Lookup Info'!$R$2:$R$4</definedName>
    <definedName name="CoincidentDiversity" localSheetId="14">'[5]Lookup Info'!$R$2:$R$4</definedName>
    <definedName name="CoincidentDiversity">'[6]Lookup Info'!$R$2:$R$4</definedName>
    <definedName name="Conditional_Approval" localSheetId="9">#REF!</definedName>
    <definedName name="Conditional_Approval" localSheetId="20">#REF!</definedName>
    <definedName name="Conditional_Approval" localSheetId="8">#REF!</definedName>
    <definedName name="Conditional_Approval" localSheetId="18">#REF!</definedName>
    <definedName name="Conditional_Approval">#REF!</definedName>
    <definedName name="Customer_Address" localSheetId="9">#REF!</definedName>
    <definedName name="Customer_Address" localSheetId="20">#REF!</definedName>
    <definedName name="Customer_Address" localSheetId="8">#REF!</definedName>
    <definedName name="Customer_Address">#REF!</definedName>
    <definedName name="Customer_City_ST_Zip" localSheetId="9">#REF!</definedName>
    <definedName name="Customer_City_ST_Zip" localSheetId="20">#REF!</definedName>
    <definedName name="Customer_City_ST_Zip" localSheetId="8">#REF!</definedName>
    <definedName name="Customer_City_ST_Zip">#REF!</definedName>
    <definedName name="Customer_Name" localSheetId="9">#REF!</definedName>
    <definedName name="Customer_Name" localSheetId="20">#REF!</definedName>
    <definedName name="Customer_Name">#REF!</definedName>
    <definedName name="CZWtsCol">'[2]Weighting Factors'!$AK$6:$BA$6</definedName>
    <definedName name="Date_of_Transmittal" localSheetId="9">#REF!</definedName>
    <definedName name="Date_of_Transmittal" localSheetId="20">#REF!</definedName>
    <definedName name="Date_of_Transmittal" localSheetId="8">#REF!</definedName>
    <definedName name="Date_of_Transmittal" localSheetId="18">#REF!</definedName>
    <definedName name="Date_of_Transmittal">#REF!</definedName>
    <definedName name="Depth">[1]List!$E$19:$E$20</definedName>
    <definedName name="DetailMeasure" localSheetId="16">'[5]Lookup Info'!#REF!</definedName>
    <definedName name="DetailMeasure" localSheetId="17">'[5]Lookup Info'!#REF!</definedName>
    <definedName name="DetailMeasure" localSheetId="15">'[5]Lookup Info'!#REF!</definedName>
    <definedName name="DetailMeasure" localSheetId="14">'[5]Lookup Info'!#REF!</definedName>
    <definedName name="DetailMeasure">'[6]Lookup Info'!#REF!</definedName>
    <definedName name="DIM" localSheetId="16">'[5]Lookup Info'!$V$2:$V$25</definedName>
    <definedName name="DIM" localSheetId="17">'[5]Lookup Info'!$V$2:$V$25</definedName>
    <definedName name="DIM" localSheetId="15">'[5]Lookup Info'!$V$2:$V$25</definedName>
    <definedName name="DIM" localSheetId="14">'[5]Lookup Info'!$V$2:$V$25</definedName>
    <definedName name="DIM">'[6]Lookup Info'!$V$2:$V$25</definedName>
    <definedName name="DmdModCZArray">[2]DmdModTable!$B$5:$R$5</definedName>
    <definedName name="DmdModTable">[2]DmdModTable!$B$7:$R$29</definedName>
    <definedName name="Dollar_Savings" localSheetId="9">#REF!</definedName>
    <definedName name="Dollar_Savings" localSheetId="20">#REF!</definedName>
    <definedName name="Dollar_Savings" localSheetId="8">#REF!</definedName>
    <definedName name="Dollar_Savings" localSheetId="19">#REF!</definedName>
    <definedName name="Dollar_Savings">#REF!</definedName>
    <definedName name="EndUse" localSheetId="16">'[5]CPUC End Use'!$B$3:$B$17</definedName>
    <definedName name="EndUse" localSheetId="17">'[5]CPUC End Use'!$B$3:$B$17</definedName>
    <definedName name="EndUse" localSheetId="15">'[5]CPUC End Use'!$B$3:$B$17</definedName>
    <definedName name="EndUse" localSheetId="14">'[5]CPUC End Use'!$B$3:$B$17</definedName>
    <definedName name="EndUse">'[6]CPUC End Use'!$B$3:$B$17</definedName>
    <definedName name="EnergySavingsOnlySIR" localSheetId="9">#REF!</definedName>
    <definedName name="EnergySavingsOnlySIR" localSheetId="20">#REF!</definedName>
    <definedName name="EnergySavingsOnlySIR" localSheetId="8">#REF!</definedName>
    <definedName name="EnergySavingsOnlySIR" localSheetId="19">#REF!</definedName>
    <definedName name="EnergySavingsOnlySIR">#REF!</definedName>
    <definedName name="ESmart_Amt" localSheetId="9">#REF!</definedName>
    <definedName name="ESmart_Amt" localSheetId="20">#REF!</definedName>
    <definedName name="ESmart_Amt" localSheetId="19">#REF!</definedName>
    <definedName name="ESmart_Amt">#REF!</definedName>
    <definedName name="EULID" localSheetId="16">'[5]Lookup Info'!$AK$2:$AK$204</definedName>
    <definedName name="EULID" localSheetId="17">'[5]Lookup Info'!$AK$2:$AK$204</definedName>
    <definedName name="EULID" localSheetId="15">'[5]Lookup Info'!$AK$2:$AK$204</definedName>
    <definedName name="EULID" localSheetId="14">'[5]Lookup Info'!$AK$2:$AK$204</definedName>
    <definedName name="EULID">'[6]Lookup Info'!$AK$2:$AK$204</definedName>
    <definedName name="Exc" localSheetId="9">#REF!</definedName>
    <definedName name="Exc" localSheetId="20">#REF!</definedName>
    <definedName name="Exc" localSheetId="8">#REF!</definedName>
    <definedName name="Exc" localSheetId="18">#REF!</definedName>
    <definedName name="Exc">#REF!</definedName>
    <definedName name="Excellent">[1]List!$A$29:$A$32</definedName>
    <definedName name="Excellents" localSheetId="9">#REF!</definedName>
    <definedName name="Excellents" localSheetId="20">#REF!</definedName>
    <definedName name="Excellents" localSheetId="8">#REF!</definedName>
    <definedName name="Excellents" localSheetId="19">#REF!</definedName>
    <definedName name="Excellents">#REF!</definedName>
    <definedName name="Existing_Fuel" localSheetId="9">#REF!</definedName>
    <definedName name="Existing_Fuel" localSheetId="20">#REF!</definedName>
    <definedName name="Existing_Fuel" localSheetId="19">#REF!</definedName>
    <definedName name="Existing_Fuel">#REF!</definedName>
    <definedName name="Financials_Completions" localSheetId="9">#REF!</definedName>
    <definedName name="Financials_Completions" localSheetId="20">#REF!</definedName>
    <definedName name="Financials_Completions" localSheetId="19">#REF!</definedName>
    <definedName name="Financials_Completions">#REF!</definedName>
    <definedName name="Financials_Reviews" localSheetId="9">#REF!</definedName>
    <definedName name="Financials_Reviews" localSheetId="20">#REF!</definedName>
    <definedName name="Financials_Reviews">#REF!</definedName>
    <definedName name="Finished">[1]List!$C$18:$C$21</definedName>
    <definedName name="FinishedNA" localSheetId="9">#REF!</definedName>
    <definedName name="FinishedNA" localSheetId="20">#REF!</definedName>
    <definedName name="FinishedNA" localSheetId="8">#REF!</definedName>
    <definedName name="FinishedNA" localSheetId="19">#REF!</definedName>
    <definedName name="FinishedNA">#REF!</definedName>
    <definedName name="From_Completions" localSheetId="9">#REF!</definedName>
    <definedName name="From_Completions" localSheetId="20">#REF!</definedName>
    <definedName name="From_Completions" localSheetId="19">#REF!</definedName>
    <definedName name="From_Completions">#REF!</definedName>
    <definedName name="From_Reviews" localSheetId="9">#REF!</definedName>
    <definedName name="From_Reviews" localSheetId="20">#REF!</definedName>
    <definedName name="From_Reviews" localSheetId="19">#REF!</definedName>
    <definedName name="From_Reviews">#REF!</definedName>
    <definedName name="Furnace" localSheetId="9">[7]Lists!$A$29:$A$32</definedName>
    <definedName name="Furnace" localSheetId="10">[8]Lists!$A$29:$A$33</definedName>
    <definedName name="Furnace" localSheetId="21">[8]Lists!$A$29:$A$33</definedName>
    <definedName name="Furnace" localSheetId="20">[9]Lists!$A$29:$A$32</definedName>
    <definedName name="Furnace" localSheetId="13">[10]Lists!$A$29:$A$33</definedName>
    <definedName name="Furnace" localSheetId="8">[11]Lists!$A$29:$A$33</definedName>
    <definedName name="Furnace" localSheetId="12">[8]Lists!$A$29:$A$33</definedName>
    <definedName name="Furnace" localSheetId="18">[8]Lists!$A$29:$A$33</definedName>
    <definedName name="Furnace">[10]Lists!$A$29:$A$33</definedName>
    <definedName name="Ga" localSheetId="9">#REF!</definedName>
    <definedName name="Ga" localSheetId="20">#REF!</definedName>
    <definedName name="Ga" localSheetId="8">#REF!</definedName>
    <definedName name="Ga" localSheetId="18">#REF!</definedName>
    <definedName name="Ga">#REF!</definedName>
    <definedName name="Gas">[1]List!$A$20:$A$21</definedName>
    <definedName name="GasNA">[1]List!$A$20:$A$22</definedName>
    <definedName name="GasNAs" localSheetId="9">#REF!</definedName>
    <definedName name="GasNAs" localSheetId="20">#REF!</definedName>
    <definedName name="GasNAs" localSheetId="8">#REF!</definedName>
    <definedName name="GasNAs" localSheetId="19">#REF!</definedName>
    <definedName name="GasNAs">#REF!</definedName>
    <definedName name="Gass" localSheetId="9">#REF!</definedName>
    <definedName name="Gass" localSheetId="20">#REF!</definedName>
    <definedName name="Gass" localSheetId="19">#REF!</definedName>
    <definedName name="Gass">#REF!</definedName>
    <definedName name="Good" localSheetId="9">[7]Lists!$A$24:$A$27</definedName>
    <definedName name="Good" localSheetId="10">[8]Lists!$A$24:$A$27</definedName>
    <definedName name="Good" localSheetId="21">[8]Lists!$A$24:$A$27</definedName>
    <definedName name="Good" localSheetId="20">[9]Lists!$A$24:$A$27</definedName>
    <definedName name="Good" localSheetId="13">[10]Lists!$A$24:$A$27</definedName>
    <definedName name="Good" localSheetId="8">[11]Lists!$A$24:$A$27</definedName>
    <definedName name="Good" localSheetId="12">[8]Lists!$A$24:$A$27</definedName>
    <definedName name="Good" localSheetId="18">[8]Lists!$A$24:$A$27</definedName>
    <definedName name="Good">[10]Lists!$A$24:$A$27</definedName>
    <definedName name="Hall">[1]List!$C$28:$C$31</definedName>
    <definedName name="Halls" localSheetId="9">#REF!</definedName>
    <definedName name="Halls" localSheetId="20">#REF!</definedName>
    <definedName name="Halls" localSheetId="8">#REF!</definedName>
    <definedName name="Halls" localSheetId="19">#REF!</definedName>
    <definedName name="Halls">#REF!</definedName>
    <definedName name="Hatch">[1]List!$C$23:$C$26</definedName>
    <definedName name="Hatchs" localSheetId="9">#REF!</definedName>
    <definedName name="Hatchs" localSheetId="20">#REF!</definedName>
    <definedName name="Hatchs" localSheetId="8">#REF!</definedName>
    <definedName name="Hatchs" localSheetId="19">#REF!</definedName>
    <definedName name="Hatchs">#REF!</definedName>
    <definedName name="HFI_Amt" localSheetId="9">#REF!</definedName>
    <definedName name="HFI_Amt" localSheetId="20">#REF!</definedName>
    <definedName name="HFI_Amt" localSheetId="19">#REF!</definedName>
    <definedName name="HFI_Amt">#REF!</definedName>
    <definedName name="Hip">[1]List!$C$33:$C$35</definedName>
    <definedName name="Hips" localSheetId="9">#REF!</definedName>
    <definedName name="Hips" localSheetId="20">#REF!</definedName>
    <definedName name="Hips" localSheetId="8">#REF!</definedName>
    <definedName name="Hips" localSheetId="19">#REF!</definedName>
    <definedName name="Hips">#REF!</definedName>
    <definedName name="HVAC_Type" localSheetId="16">'[5]Lookup Info'!$AH$2:$AH$31</definedName>
    <definedName name="HVAC_Type" localSheetId="17">'[5]Lookup Info'!$AH$2:$AH$31</definedName>
    <definedName name="HVAC_Type" localSheetId="15">'[5]Lookup Info'!$AH$2:$AH$31</definedName>
    <definedName name="HVAC_Type" localSheetId="14">'[5]Lookup Info'!$AH$2:$AH$31</definedName>
    <definedName name="HVAC_Type">'[6]Lookup Info'!$AH$2:$AH$31</definedName>
    <definedName name="IE_Tech" localSheetId="16">'[5]Lookup Info'!$T$2:$T$4</definedName>
    <definedName name="IE_Tech" localSheetId="17">'[5]Lookup Info'!$T$2:$T$4</definedName>
    <definedName name="IE_Tech" localSheetId="15">'[5]Lookup Info'!$T$2:$T$4</definedName>
    <definedName name="IE_Tech" localSheetId="14">'[5]Lookup Info'!$T$2:$T$4</definedName>
    <definedName name="IE_Tech">'[6]Lookup Info'!$T$2:$T$4</definedName>
    <definedName name="IETable" localSheetId="16">#REF!</definedName>
    <definedName name="IETable" localSheetId="17">#REF!</definedName>
    <definedName name="IETable" localSheetId="15">#REF!</definedName>
    <definedName name="IETable" localSheetId="14">#REF!</definedName>
    <definedName name="IETable">#REF!</definedName>
    <definedName name="InteractiveEffects" localSheetId="16">'[5]Lookup Info'!$N$2:$N$4</definedName>
    <definedName name="InteractiveEffects" localSheetId="17">'[5]Lookup Info'!$N$2:$N$4</definedName>
    <definedName name="InteractiveEffects" localSheetId="15">'[5]Lookup Info'!$N$2:$N$4</definedName>
    <definedName name="InteractiveEffects" localSheetId="14">'[5]Lookup Info'!$N$2:$N$4</definedName>
    <definedName name="InteractiveEffects">'[6]Lookup Info'!$N$2:$N$4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9">#REF!</definedName>
    <definedName name="Kwh" localSheetId="20">#REF!</definedName>
    <definedName name="Kwh" localSheetId="19">#REF!</definedName>
    <definedName name="Kwh">#REF!</definedName>
    <definedName name="L_UtilityHVACWtsTbl" localSheetId="16">[12]Lookups!$F$20:$G$29</definedName>
    <definedName name="L_UtilityHVACWtsTbl" localSheetId="17">[12]Lookups!$F$20:$G$29</definedName>
    <definedName name="L_UtilityHVACWtsTbl" localSheetId="15">[12]Lookups!$F$20:$G$29</definedName>
    <definedName name="L_UtilityHVACWtsTbl" localSheetId="14">[12]Lookups!$F$20:$G$29</definedName>
    <definedName name="L_UtilityHVACWtsTbl">[13]Lookups!$F$20:$G$29</definedName>
    <definedName name="linefeed" localSheetId="9">#REF!</definedName>
    <definedName name="linefeed" localSheetId="20">#REF!</definedName>
    <definedName name="linefeed" localSheetId="8">#REF!</definedName>
    <definedName name="linefeed" localSheetId="19">#REF!</definedName>
    <definedName name="linefeed">#REF!</definedName>
    <definedName name="LIPA_Amount" localSheetId="9">#REF!</definedName>
    <definedName name="LIPA_Amount" localSheetId="20">#REF!</definedName>
    <definedName name="LIPA_Amount" localSheetId="8">#REF!</definedName>
    <definedName name="LIPA_Amount">#REF!</definedName>
    <definedName name="Loadshapes" localSheetId="16">'[5]Lookup Info'!$A$2:$A$62</definedName>
    <definedName name="Loadshapes" localSheetId="17">'[5]Lookup Info'!$A$2:$A$62</definedName>
    <definedName name="Loadshapes" localSheetId="15">'[5]Lookup Info'!$A$2:$A$62</definedName>
    <definedName name="Loadshapes" localSheetId="14">'[5]Lookup Info'!$A$2:$A$62</definedName>
    <definedName name="Loadshapes">'[6]Lookup Info'!$A$2:$A$62</definedName>
    <definedName name="Measure">[2]Lookups!$B$57:$F$62</definedName>
    <definedName name="MeasureStatus" localSheetId="16">'[5]Lookup Info'!$AA$2:$AA$4</definedName>
    <definedName name="MeasureStatus" localSheetId="17">'[5]Lookup Info'!$AA$2:$AA$4</definedName>
    <definedName name="MeasureStatus" localSheetId="15">'[5]Lookup Info'!$AA$2:$AA$4</definedName>
    <definedName name="MeasureStatus" localSheetId="14">'[5]Lookup Info'!$AA$2:$AA$4</definedName>
    <definedName name="MeasureStatus">'[6]Lookup Info'!$AA$2:$AA$4</definedName>
    <definedName name="MeasureSummary" localSheetId="16">'[5]Lookup Info'!$AC$2:$AC$4</definedName>
    <definedName name="MeasureSummary" localSheetId="17">'[5]Lookup Info'!$AC$2:$AC$4</definedName>
    <definedName name="MeasureSummary" localSheetId="15">'[5]Lookup Info'!$AC$2:$AC$4</definedName>
    <definedName name="MeasureSummary" localSheetId="14">'[5]Lookup Info'!$AC$2:$AC$4</definedName>
    <definedName name="MeasureSummary">'[6]Lookup Info'!$AC$2:$AC$4</definedName>
    <definedName name="Message_Completions" localSheetId="9">#REF!</definedName>
    <definedName name="Message_Completions" localSheetId="20">#REF!</definedName>
    <definedName name="Message_Completions" localSheetId="8">#REF!</definedName>
    <definedName name="Message_Completions" localSheetId="18">#REF!</definedName>
    <definedName name="Message_Completions">#REF!</definedName>
    <definedName name="Message_JobComplete" localSheetId="9">#REF!</definedName>
    <definedName name="Message_JobComplete" localSheetId="20">#REF!</definedName>
    <definedName name="Message_JobComplete" localSheetId="8">#REF!</definedName>
    <definedName name="Message_JobComplete">#REF!</definedName>
    <definedName name="Message_JobReview" localSheetId="9">#REF!</definedName>
    <definedName name="Message_JobReview" localSheetId="20">#REF!</definedName>
    <definedName name="Message_JobReview" localSheetId="8">#REF!</definedName>
    <definedName name="Message_JobReview">#REF!</definedName>
    <definedName name="MMbtu" localSheetId="9">#REF!</definedName>
    <definedName name="MMbtu" localSheetId="20">#REF!</definedName>
    <definedName name="MMbtu">#REF!</definedName>
    <definedName name="Moderate" localSheetId="9">#REF!</definedName>
    <definedName name="Moderate" localSheetId="10">#REF!</definedName>
    <definedName name="Moderate" localSheetId="21">#REF!</definedName>
    <definedName name="Moderate" localSheetId="20">#REF!</definedName>
    <definedName name="Moderate" localSheetId="8">#REF!</definedName>
    <definedName name="Moderate" localSheetId="19">#REF!</definedName>
    <definedName name="Moderate" localSheetId="12">#REF!</definedName>
    <definedName name="Moderate" localSheetId="18">#REF!</definedName>
    <definedName name="Moderate">#REF!</definedName>
    <definedName name="myrange" localSheetId="9">'[8]HVAC Tier 2 Incentive Table'!#REF!</definedName>
    <definedName name="myrange" localSheetId="10">'[8]HVAC Tier 2 Incentive Table'!#REF!</definedName>
    <definedName name="myrange" localSheetId="21">'[8]HVAC Tier 2 Incentive Table'!#REF!</definedName>
    <definedName name="myrange" localSheetId="20">'[11]HVAC Tier 2 Incentive Table'!#REF!</definedName>
    <definedName name="myrange" localSheetId="13">'[10]HVAC Tier 2 Incentive Table'!#REF!</definedName>
    <definedName name="myrange" localSheetId="8">'HVAC Tier 2 Incentive Table'!#REF!</definedName>
    <definedName name="myrange" localSheetId="12">'[8]HVAC Tier 2 Incentive Table'!#REF!</definedName>
    <definedName name="myrange" localSheetId="18">'[8]HVAC Tier 2 Incentive Table'!#REF!</definedName>
    <definedName name="myrange">'[10]HVAC Tier 2 Incentive Table'!#REF!</definedName>
    <definedName name="Natural">[1]List!$C$13:$C$16</definedName>
    <definedName name="NaturalNA" localSheetId="9">#REF!</definedName>
    <definedName name="NaturalNA" localSheetId="20">#REF!</definedName>
    <definedName name="NaturalNA" localSheetId="8">#REF!</definedName>
    <definedName name="NaturalNA" localSheetId="19">#REF!</definedName>
    <definedName name="NaturalNA">#REF!</definedName>
    <definedName name="Naturals">[14]List!$E$2:$E$5</definedName>
    <definedName name="Nnatural" localSheetId="9">#REF!</definedName>
    <definedName name="Nnatural" localSheetId="20">#REF!</definedName>
    <definedName name="Nnatural" localSheetId="8">#REF!</definedName>
    <definedName name="Nnatural" localSheetId="19">#REF!</definedName>
    <definedName name="Nnatural">#REF!</definedName>
    <definedName name="No">[14]List!$E$7:$E$9</definedName>
    <definedName name="Notes" localSheetId="9">#REF!</definedName>
    <definedName name="Notes" localSheetId="20">#REF!</definedName>
    <definedName name="Notes" localSheetId="8">#REF!</definedName>
    <definedName name="Notes" localSheetId="19">#REF!</definedName>
    <definedName name="Notes">#REF!</definedName>
    <definedName name="Notes_Completions" localSheetId="9">#REF!</definedName>
    <definedName name="Notes_Completions" localSheetId="20">#REF!</definedName>
    <definedName name="Notes_Completions" localSheetId="19">#REF!</definedName>
    <definedName name="Notes_Completions">#REF!</definedName>
    <definedName name="Notes_JobReview" localSheetId="9">#REF!</definedName>
    <definedName name="Notes_JobReview" localSheetId="20">#REF!</definedName>
    <definedName name="Notes_JobReview" localSheetId="19">#REF!</definedName>
    <definedName name="Notes_JobReview">#REF!</definedName>
    <definedName name="OBR_Utility" localSheetId="9">#REF!</definedName>
    <definedName name="OBR_Utility" localSheetId="20">#REF!</definedName>
    <definedName name="OBR_Utility">#REF!</definedName>
    <definedName name="OLE_LINK1" localSheetId="16">#REF!</definedName>
    <definedName name="OLE_LINK1" localSheetId="17">#REF!</definedName>
    <definedName name="OLE_LINK1" localSheetId="15">#REF!</definedName>
    <definedName name="OLE_LINK1" localSheetId="14">#REF!</definedName>
    <definedName name="OLE_LINK1">#REF!</definedName>
    <definedName name="On_Demand" localSheetId="9">[7]Lists!$C$18:$C$22</definedName>
    <definedName name="On_Demand" localSheetId="10">[8]Lists!$C$18:$C$22</definedName>
    <definedName name="On_Demand" localSheetId="21">[8]Lists!$C$18:$C$22</definedName>
    <definedName name="On_Demand" localSheetId="20">[9]Lists!$C$18:$C$22</definedName>
    <definedName name="On_Demand" localSheetId="13">[15]Lists!$C$18:$C$22</definedName>
    <definedName name="On_Demand" localSheetId="8">[11]Lists!$C$18:$C$22</definedName>
    <definedName name="On_Demand" localSheetId="19">[10]Lists!$C$18:$C$22</definedName>
    <definedName name="On_Demand" localSheetId="12">[8]Lists!$C$18:$C$22</definedName>
    <definedName name="On_Demand" localSheetId="18">[8]Lists!$C$18:$C$22</definedName>
    <definedName name="On_Demand">[15]Lists!$C$18:$C$22</definedName>
    <definedName name="One">[1]List!$A$12:$A$17</definedName>
    <definedName name="OnePlus">[1]List!$A$12:$A$18</definedName>
    <definedName name="Ones" localSheetId="9">#REF!</definedName>
    <definedName name="Ones" localSheetId="20">#REF!</definedName>
    <definedName name="Ones" localSheetId="8">#REF!</definedName>
    <definedName name="Ones" localSheetId="19">#REF!</definedName>
    <definedName name="Ones">#REF!</definedName>
    <definedName name="OperatingHours" localSheetId="16">'[5]Lookup Info'!$P$2:$P$14</definedName>
    <definedName name="OperatingHours" localSheetId="17">'[5]Lookup Info'!$P$2:$P$14</definedName>
    <definedName name="OperatingHours" localSheetId="15">'[5]Lookup Info'!$P$2:$P$14</definedName>
    <definedName name="OperatingHours" localSheetId="14">'[5]Lookup Info'!$P$2:$P$14</definedName>
    <definedName name="OperatingHours">'[6]Lookup Info'!$P$2:$P$14</definedName>
    <definedName name="Participating_Contractor" localSheetId="9">#REF!</definedName>
    <definedName name="Participating_Contractor" localSheetId="20">#REF!</definedName>
    <definedName name="Participating_Contractor" localSheetId="8">#REF!</definedName>
    <definedName name="Participating_Contractor" localSheetId="19">#REF!</definedName>
    <definedName name="Participating_Contractor">#REF!</definedName>
    <definedName name="Payback_Years" localSheetId="9">#REF!</definedName>
    <definedName name="Payback_Years" localSheetId="20">#REF!</definedName>
    <definedName name="Payback_Years" localSheetId="19">#REF!</definedName>
    <definedName name="Payback_Years">#REF!</definedName>
    <definedName name="Primary_Heating_Fuel" localSheetId="9">#REF!</definedName>
    <definedName name="Primary_Heating_Fuel" localSheetId="20">#REF!</definedName>
    <definedName name="Primary_Heating_Fuel">#REF!</definedName>
    <definedName name="_xlnm.Print_Area" localSheetId="9">'Ancillary Costs'!$B$1:$S$24</definedName>
    <definedName name="_xlnm.Print_Area" localSheetId="10">'Disclaimer Form'!$B$1:$X$132</definedName>
    <definedName name="_xlnm.Print_Area" localSheetId="5">Electrification!$B$1:$AO$68</definedName>
    <definedName name="_xlnm.Print_Area" localSheetId="21">'H&amp;S-PY26 Pricing'!$A$1:$G$57</definedName>
    <definedName name="_xlnm.Print_Area" localSheetId="13">'HVAC Test Form'!$B$1:$AO$110</definedName>
    <definedName name="_xlnm.Print_Area" localSheetId="1">'Manual J Updates'!$A$1:$AO$21</definedName>
    <definedName name="_xlnm.Print_Area" localSheetId="12">'Old Test Form'!$A$1:$R$139</definedName>
    <definedName name="_xlnm.Print_Area" localSheetId="2">'Project Information'!$B$1:$AO$60</definedName>
    <definedName name="_xlnm.Print_Area" localSheetId="0">'START HERE'!$B$1:$AM$63</definedName>
    <definedName name="_xlnm.Print_Area" localSheetId="11">'Test Form'!$B$1:$AL$155</definedName>
    <definedName name="_xlnm.Print_Area" localSheetId="14">'WH Bill Analysis'!$B$1:$AK$22</definedName>
    <definedName name="_xlnm.Print_Area" localSheetId="18">'WNCF Form'!$B$1:$K$33</definedName>
    <definedName name="_xlnm.Print_Area" localSheetId="3">'Work Scope'!$B$1:$AO$119</definedName>
    <definedName name="_xlnm.Print_Titles" localSheetId="20">'HE-PY26 Pricing'!$1:$4</definedName>
    <definedName name="ProgramType" localSheetId="16">'[5]Lookup Info'!$C$2:$C$5</definedName>
    <definedName name="ProgramType" localSheetId="17">'[5]Lookup Info'!$C$2:$C$5</definedName>
    <definedName name="ProgramType" localSheetId="15">'[5]Lookup Info'!$C$2:$C$5</definedName>
    <definedName name="ProgramType" localSheetId="14">'[5]Lookup Info'!$C$2:$C$5</definedName>
    <definedName name="ProgramType">'[6]Lookup Info'!$C$2:$C$5</definedName>
    <definedName name="Project_Type" localSheetId="9">#REF!</definedName>
    <definedName name="Project_Type" localSheetId="20">#REF!</definedName>
    <definedName name="Project_Type" localSheetId="8">#REF!</definedName>
    <definedName name="Project_Type" localSheetId="19">#REF!</definedName>
    <definedName name="Project_Type">#REF!</definedName>
    <definedName name="ProjectID" localSheetId="9">#REF!</definedName>
    <definedName name="ProjectID" localSheetId="20">#REF!</definedName>
    <definedName name="ProjectID" localSheetId="19">#REF!</definedName>
    <definedName name="ProjectID">#REF!</definedName>
    <definedName name="Qualifications" localSheetId="9">#REF!</definedName>
    <definedName name="Qualifications" localSheetId="20">#REF!</definedName>
    <definedName name="Qualifications" localSheetId="19">#REF!</definedName>
    <definedName name="Qualifications">#REF!</definedName>
    <definedName name="Ranch">[1]List!$G$2:$G$7</definedName>
    <definedName name="Ranchs" localSheetId="9">#REF!</definedName>
    <definedName name="Ranchs" localSheetId="20">#REF!</definedName>
    <definedName name="Ranchs" localSheetId="8">#REF!</definedName>
    <definedName name="Ranchs" localSheetId="19">#REF!</definedName>
    <definedName name="Ranchs">#REF!</definedName>
    <definedName name="RatesForCAD" localSheetId="16">#REF!</definedName>
    <definedName name="RatesForCAD" localSheetId="17">#REF!</definedName>
    <definedName name="RatesForCAD" localSheetId="15">#REF!</definedName>
    <definedName name="RatesForCAD" localSheetId="20">#REF!</definedName>
    <definedName name="RatesForCAD" localSheetId="8">#REF!</definedName>
    <definedName name="RatesForCAD" localSheetId="14">#REF!</definedName>
    <definedName name="RatesForCAD">#REF!</definedName>
    <definedName name="Re_Completions" localSheetId="9">#REF!</definedName>
    <definedName name="Re_Completions" localSheetId="20">#REF!</definedName>
    <definedName name="Re_Completions" localSheetId="19">#REF!</definedName>
    <definedName name="Re_Completions">#REF!</definedName>
    <definedName name="Re_Reviews" localSheetId="9">#REF!</definedName>
    <definedName name="Re_Reviews" localSheetId="20">#REF!</definedName>
    <definedName name="Re_Reviews" localSheetId="19">#REF!</definedName>
    <definedName name="Re_Reviews">#REF!</definedName>
    <definedName name="ResultType2">[2]Lookups!$A$110:$B$112</definedName>
    <definedName name="Ridge">[1]List!$E$2:$E$7</definedName>
    <definedName name="Ridges" localSheetId="9">#REF!</definedName>
    <definedName name="Ridges" localSheetId="20">#REF!</definedName>
    <definedName name="Ridges" localSheetId="8">#REF!</definedName>
    <definedName name="Ridges" localSheetId="19">#REF!</definedName>
    <definedName name="Ridges">#REF!</definedName>
    <definedName name="RJ" localSheetId="9">#REF!</definedName>
    <definedName name="RJ" localSheetId="20">#REF!</definedName>
    <definedName name="RJ" localSheetId="19">#REF!</definedName>
    <definedName name="RJ">#REF!</definedName>
    <definedName name="Silvercote">[1]List!$G$13</definedName>
    <definedName name="SIR_Payback" localSheetId="9">#REF!</definedName>
    <definedName name="SIR_Payback" localSheetId="20">#REF!</definedName>
    <definedName name="SIR_Payback" localSheetId="8">#REF!</definedName>
    <definedName name="SIR_Payback" localSheetId="19">#REF!</definedName>
    <definedName name="SIR_Payback">#REF!</definedName>
    <definedName name="Slab" localSheetId="9">#REF!</definedName>
    <definedName name="Slab" localSheetId="20">#REF!</definedName>
    <definedName name="Slab" localSheetId="19">#REF!</definedName>
    <definedName name="Slab">#REF!</definedName>
    <definedName name="SPF" localSheetId="9">#REF!</definedName>
    <definedName name="SPF" localSheetId="20">#REF!</definedName>
    <definedName name="SPF" localSheetId="19">#REF!</definedName>
    <definedName name="SPF">#REF!</definedName>
    <definedName name="SPF_Open_Cell">[1]List!$E$33:$E$35</definedName>
    <definedName name="superrange" localSheetId="16">#REF!</definedName>
    <definedName name="superrange" localSheetId="17">#REF!</definedName>
    <definedName name="superrange" localSheetId="15">#REF!</definedName>
    <definedName name="superrange" localSheetId="14">#REF!</definedName>
    <definedName name="superrange">#REF!</definedName>
    <definedName name="SystemType">[2]Lookups!$A$116:$C$126</definedName>
    <definedName name="SystemTypeDD">[2]Lookups!$A$116:$A$125</definedName>
    <definedName name="SysWtsCol">'[2]Weighting Factors'!$D$7:$P$7</definedName>
    <definedName name="TableResults">[2]Results!$B$22:$M$72</definedName>
    <definedName name="Tank">[1]List!$C$8:$C$11</definedName>
    <definedName name="TankNA" localSheetId="9">#REF!</definedName>
    <definedName name="TankNA" localSheetId="20">#REF!</definedName>
    <definedName name="TankNA" localSheetId="8">#REF!</definedName>
    <definedName name="TankNA" localSheetId="19">#REF!</definedName>
    <definedName name="TankNA">#REF!</definedName>
    <definedName name="Tanks">[14]List!$C$26:$C$30</definedName>
    <definedName name="Test" localSheetId="16">[16]WP!#REF!</definedName>
    <definedName name="Test" localSheetId="17">[16]WP!#REF!</definedName>
    <definedName name="Test" localSheetId="15">[16]WP!#REF!</definedName>
    <definedName name="Test" localSheetId="14">[16]WP!#REF!</definedName>
    <definedName name="Test">[17]WP!#REF!</definedName>
    <definedName name="TestRange" localSheetId="16">[16]WP!#REF!</definedName>
    <definedName name="TestRange" localSheetId="17">[16]WP!#REF!</definedName>
    <definedName name="TestRange" localSheetId="15">[16]WP!#REF!</definedName>
    <definedName name="TestRange" localSheetId="14">[16]WP!#REF!</definedName>
    <definedName name="TestRange">[17]WP!#REF!</definedName>
    <definedName name="Three" localSheetId="9">#REF!</definedName>
    <definedName name="Three" localSheetId="20">#REF!</definedName>
    <definedName name="Three" localSheetId="8">#REF!</definedName>
    <definedName name="Three" localSheetId="19">#REF!</definedName>
    <definedName name="Three">#REF!</definedName>
    <definedName name="To" localSheetId="9">#REF!</definedName>
    <definedName name="To" localSheetId="20">#REF!</definedName>
    <definedName name="To" localSheetId="19">#REF!</definedName>
    <definedName name="To">#REF!</definedName>
    <definedName name="Total_Cost_of_Project" localSheetId="9">#REF!</definedName>
    <definedName name="Total_Cost_of_Project" localSheetId="20">#REF!</definedName>
    <definedName name="Total_Cost_of_Project" localSheetId="19">#REF!</definedName>
    <definedName name="Total_Cost_of_Project">#REF!</definedName>
    <definedName name="Total_Eligible_Measures" localSheetId="9">#REF!</definedName>
    <definedName name="Total_Eligible_Measures" localSheetId="20">#REF!</definedName>
    <definedName name="Total_Eligible_Measures">#REF!</definedName>
    <definedName name="Ttank" localSheetId="9">#REF!</definedName>
    <definedName name="Ttank" localSheetId="20">#REF!</definedName>
    <definedName name="Ttank">#REF!</definedName>
    <definedName name="Utility">[2]Lookups!$A$3:$C$6</definedName>
    <definedName name="Utility_Providers" localSheetId="9">#REF!</definedName>
    <definedName name="Utility_Providers" localSheetId="20">#REF!</definedName>
    <definedName name="Utility_Providers" localSheetId="8">#REF!</definedName>
    <definedName name="Utility_Providers" localSheetId="18">#REF!</definedName>
    <definedName name="Utility_Providers">#REF!</definedName>
    <definedName name="Vintage">[2]Lookups!$A$47:$G$48</definedName>
    <definedName name="VintageDD">[2]Lookups!$A$47:$A$48</definedName>
    <definedName name="WB" localSheetId="9">#REF!</definedName>
    <definedName name="WB" localSheetId="20">#REF!</definedName>
    <definedName name="WB" localSheetId="8">#REF!</definedName>
    <definedName name="WB" localSheetId="18">#REF!</definedName>
    <definedName name="WB">#REF!</definedName>
    <definedName name="WBNA" localSheetId="9">#REF!</definedName>
    <definedName name="WBNA" localSheetId="20">#REF!</definedName>
    <definedName name="WBNA" localSheetId="8">#REF!</definedName>
    <definedName name="WBNA">#REF!</definedName>
    <definedName name="WillBe">[1]List!$A$2:$A$4</definedName>
    <definedName name="Window">[1]List!$A$34:$A$37</definedName>
    <definedName name="X">[1]List!$A$5</definedName>
    <definedName name="Xs" localSheetId="9">#REF!</definedName>
    <definedName name="Xs" localSheetId="20">#REF!</definedName>
    <definedName name="Xs" localSheetId="8">#REF!</definedName>
    <definedName name="Xs" localSheetId="19">#REF!</definedName>
    <definedName name="Xs">#REF!</definedName>
    <definedName name="Yes" localSheetId="9">#REF!</definedName>
    <definedName name="Yes" localSheetId="10">#REF!</definedName>
    <definedName name="Yes" localSheetId="21">#REF!</definedName>
    <definedName name="Yes" localSheetId="20">#REF!</definedName>
    <definedName name="Yes" localSheetId="8">#REF!</definedName>
    <definedName name="Yes" localSheetId="19">#REF!</definedName>
    <definedName name="Yes" localSheetId="12">#REF!</definedName>
    <definedName name="Yes" localSheetId="18">#REF!</definedName>
    <definedName name="Yes">#REF!</definedName>
    <definedName name="YesNA">[1]List!$G$9:$G$11</definedName>
    <definedName name="YesNAs" localSheetId="9">#REF!</definedName>
    <definedName name="YesNAs" localSheetId="20">#REF!</definedName>
    <definedName name="YesNAs" localSheetId="8">#REF!</definedName>
    <definedName name="YesNAs" localSheetId="19">#REF!</definedName>
    <definedName name="YesNAs">#REF!</definedName>
    <definedName name="YesNo" localSheetId="16">'[5]Lookup Info'!$Y$2:$Y$3</definedName>
    <definedName name="YesNo" localSheetId="9">[7]Lists!$C$9:$C$11</definedName>
    <definedName name="YesNo" localSheetId="17">'[5]Lookup Info'!$Y$2:$Y$3</definedName>
    <definedName name="YesNo" localSheetId="15">'[5]Lookup Info'!$Y$2:$Y$3</definedName>
    <definedName name="YesNo" localSheetId="10">[8]Lists!$C$9:$C$11</definedName>
    <definedName name="YesNo" localSheetId="21">[8]Lists!$C$9:$C$11</definedName>
    <definedName name="YesNo" localSheetId="20">[9]Lists!$C$9:$C$11</definedName>
    <definedName name="YesNo" localSheetId="8">[11]Lists!$C$9:$C$11</definedName>
    <definedName name="YesNo" localSheetId="19">[10]Lists!$C$9:$C$11</definedName>
    <definedName name="YesNo" localSheetId="12">[8]Lists!$C$9:$C$11</definedName>
    <definedName name="YesNo" localSheetId="14">'[5]Lookup Info'!$Y$2:$Y$3</definedName>
    <definedName name="YesNo" localSheetId="18">[8]Lists!$C$9:$C$11</definedName>
    <definedName name="Yess" localSheetId="9">#REF!</definedName>
    <definedName name="Yess" localSheetId="20">#REF!</definedName>
    <definedName name="Yess" localSheetId="8">#REF!</definedName>
    <definedName name="Yess" localSheetId="19">#REF!</definedName>
    <definedName name="Yess">#REF!</definedName>
    <definedName name="Yyes" localSheetId="9">#REF!</definedName>
    <definedName name="Yyes" localSheetId="20">#REF!</definedName>
    <definedName name="Yyes" localSheetId="19">#REF!</definedName>
    <definedName name="Yyes">#REF!</definedName>
    <definedName name="Z_82DA15CD_5E49_4A86_B817_C8E74303E90F_.wvu.PrintArea" localSheetId="9" hidden="1">'Ancillary Costs'!$B$1:$S$8</definedName>
    <definedName name="Z_82DA15CD_5E49_4A86_B817_C8E74303E90F_.wvu.PrintArea" localSheetId="12" hidden="1">'Old Test Form'!$A$1:$R$139</definedName>
    <definedName name="Zero" localSheetId="9">#REF!</definedName>
    <definedName name="Zero" localSheetId="20">#REF!</definedName>
    <definedName name="Zero" localSheetId="19">#REF!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 l="1"/>
  <c r="D12" i="12"/>
  <c r="D20" i="12"/>
  <c r="D11" i="12"/>
  <c r="D10" i="12"/>
  <c r="D9" i="12"/>
  <c r="D8" i="12"/>
  <c r="D7" i="12"/>
  <c r="C36" i="12"/>
  <c r="C35" i="12"/>
  <c r="C34" i="12"/>
  <c r="C33" i="12"/>
  <c r="C32" i="12"/>
  <c r="C31" i="12"/>
  <c r="C17" i="16" l="1"/>
  <c r="C16" i="16"/>
  <c r="C14" i="16"/>
  <c r="F193" i="34" l="1"/>
  <c r="G8" i="33"/>
  <c r="BF20" i="15"/>
  <c r="BB22" i="15"/>
  <c r="BB21" i="15"/>
  <c r="AZ22" i="15"/>
  <c r="AZ21" i="15"/>
  <c r="AW22" i="15"/>
  <c r="AW21" i="15"/>
  <c r="DC22" i="15"/>
  <c r="DC21" i="15"/>
  <c r="DC20" i="15"/>
  <c r="CX22" i="15"/>
  <c r="CX21" i="15"/>
  <c r="CX20" i="15"/>
  <c r="CQ22" i="15"/>
  <c r="CQ21" i="15"/>
  <c r="CQ20" i="15"/>
  <c r="CF22" i="15"/>
  <c r="CF21" i="15"/>
  <c r="CF20" i="15"/>
  <c r="BV22" i="15"/>
  <c r="BV21" i="15"/>
  <c r="BV20" i="15"/>
  <c r="BN22" i="15"/>
  <c r="BN20" i="15"/>
  <c r="BF22" i="15"/>
  <c r="BB20" i="15"/>
  <c r="AZ20" i="15"/>
  <c r="AW20" i="15"/>
  <c r="DC19" i="15"/>
  <c r="CX19" i="15"/>
  <c r="CQ19" i="15"/>
  <c r="CF19" i="15"/>
  <c r="BV19" i="15"/>
  <c r="BB19" i="15"/>
  <c r="AZ19" i="15"/>
  <c r="AW19" i="15"/>
  <c r="AH21" i="15"/>
  <c r="AH19" i="15"/>
  <c r="X50" i="22" l="1"/>
  <c r="J49" i="22"/>
  <c r="N21" i="22" l="1"/>
  <c r="AD21" i="22" s="1"/>
  <c r="AJ21" i="22" s="1"/>
  <c r="N19" i="22"/>
  <c r="X29" i="22"/>
  <c r="AJ18" i="14"/>
  <c r="AD18" i="14"/>
  <c r="AJ15" i="14"/>
  <c r="AD15" i="14"/>
  <c r="D25" i="20"/>
  <c r="D24" i="20"/>
  <c r="N47" i="14" l="1"/>
  <c r="N50" i="14"/>
  <c r="BB24" i="15"/>
  <c r="AZ24" i="15"/>
  <c r="AW24" i="15"/>
  <c r="ED24" i="15" s="1"/>
  <c r="AH24" i="15"/>
  <c r="BB23" i="15"/>
  <c r="AZ23" i="15"/>
  <c r="AW23" i="15"/>
  <c r="CQ23" i="15" s="1"/>
  <c r="AH23" i="15"/>
  <c r="DS24" i="15" l="1"/>
  <c r="DO23" i="15"/>
  <c r="DW24" i="15"/>
  <c r="DW23" i="15"/>
  <c r="ED23" i="15"/>
  <c r="DJ23" i="15"/>
  <c r="CQ24" i="15"/>
  <c r="DS23" i="15"/>
  <c r="DA23" i="15"/>
  <c r="BV23" i="15"/>
  <c r="CF23" i="15"/>
  <c r="DA24" i="15"/>
  <c r="DJ24" i="15"/>
  <c r="BV24" i="15"/>
  <c r="DO24" i="15"/>
  <c r="CF24" i="15"/>
  <c r="AD39" i="22" l="1"/>
  <c r="AH34" i="22"/>
  <c r="AL34" i="22" s="1"/>
  <c r="E8" i="16" l="1"/>
  <c r="D8" i="16"/>
  <c r="E7" i="16"/>
  <c r="D7" i="16"/>
  <c r="E6" i="16"/>
  <c r="T36" i="13" l="1"/>
  <c r="W15" i="15" l="1"/>
  <c r="F15" i="15"/>
  <c r="N43" i="14" l="1"/>
  <c r="N23" i="22"/>
  <c r="AD23" i="22" s="1"/>
  <c r="AJ23" i="22" s="1"/>
  <c r="E83" i="16"/>
  <c r="D83" i="16"/>
  <c r="C21" i="17" l="1"/>
  <c r="C20" i="17"/>
  <c r="C19" i="17"/>
  <c r="C18" i="17"/>
  <c r="C17" i="17"/>
  <c r="C7" i="17"/>
  <c r="C6" i="17"/>
  <c r="C5" i="17"/>
  <c r="C4" i="17"/>
  <c r="C3" i="17"/>
  <c r="E49" i="16"/>
  <c r="B3" i="17" s="1"/>
  <c r="E86" i="16"/>
  <c r="E87" i="16"/>
  <c r="E85" i="16"/>
  <c r="E82" i="16"/>
  <c r="E80" i="16"/>
  <c r="E81" i="16"/>
  <c r="D82" i="16"/>
  <c r="E70" i="16"/>
  <c r="D70" i="16"/>
  <c r="E73" i="16"/>
  <c r="E74" i="16"/>
  <c r="E75" i="16"/>
  <c r="E76" i="16"/>
  <c r="E77" i="16"/>
  <c r="E78" i="16"/>
  <c r="E79" i="16"/>
  <c r="E72" i="16"/>
  <c r="E69" i="16"/>
  <c r="E63" i="16"/>
  <c r="E64" i="16"/>
  <c r="E65" i="16"/>
  <c r="E66" i="16"/>
  <c r="E67" i="16"/>
  <c r="E68" i="16"/>
  <c r="E62" i="16"/>
  <c r="E60" i="16"/>
  <c r="E56" i="16"/>
  <c r="E57" i="16"/>
  <c r="E58" i="16"/>
  <c r="E59" i="16"/>
  <c r="E55" i="16"/>
  <c r="E53" i="16"/>
  <c r="B7" i="17" s="1"/>
  <c r="B17" i="17" l="1"/>
  <c r="B21" i="17"/>
  <c r="AW4" i="15" l="1"/>
  <c r="M25" i="15" l="1"/>
  <c r="M27" i="15"/>
  <c r="W12" i="15"/>
  <c r="AA5" i="32" l="1"/>
  <c r="AH17" i="15" l="1"/>
  <c r="F216" i="34" l="1"/>
  <c r="F194" i="34" l="1"/>
  <c r="F225" i="34"/>
  <c r="F226" i="34" s="1"/>
  <c r="P5" i="32"/>
  <c r="E5" i="32"/>
  <c r="D15" i="35"/>
  <c r="D16" i="35"/>
  <c r="D17" i="35"/>
  <c r="J910" i="34"/>
  <c r="A910" i="34"/>
  <c r="J909" i="34"/>
  <c r="A909" i="34"/>
  <c r="J908" i="34"/>
  <c r="A908" i="34"/>
  <c r="J907" i="34"/>
  <c r="A907" i="34"/>
  <c r="J906" i="34"/>
  <c r="A906" i="34"/>
  <c r="J905" i="34"/>
  <c r="A905" i="34"/>
  <c r="J904" i="34"/>
  <c r="A904" i="34"/>
  <c r="J903" i="34"/>
  <c r="A903" i="34"/>
  <c r="J902" i="34"/>
  <c r="A902" i="34"/>
  <c r="J901" i="34"/>
  <c r="A901" i="34"/>
  <c r="J900" i="34"/>
  <c r="F900" i="34"/>
  <c r="A900" i="34"/>
  <c r="J899" i="34"/>
  <c r="F899" i="34"/>
  <c r="A899" i="34"/>
  <c r="J898" i="34"/>
  <c r="F898" i="34"/>
  <c r="A898" i="34"/>
  <c r="J897" i="34"/>
  <c r="A897" i="34"/>
  <c r="J896" i="34"/>
  <c r="F896" i="34"/>
  <c r="A896" i="34"/>
  <c r="J895" i="34"/>
  <c r="F895" i="34"/>
  <c r="A895" i="34"/>
  <c r="J894" i="34"/>
  <c r="A894" i="34"/>
  <c r="F894" i="34" s="1"/>
  <c r="J893" i="34"/>
  <c r="A893" i="34"/>
  <c r="J892" i="34"/>
  <c r="A892" i="34"/>
  <c r="J891" i="34"/>
  <c r="A891" i="34"/>
  <c r="J890" i="34"/>
  <c r="A890" i="34"/>
  <c r="J889" i="34"/>
  <c r="A889" i="34"/>
  <c r="J888" i="34"/>
  <c r="A888" i="34"/>
  <c r="J887" i="34"/>
  <c r="A887" i="34"/>
  <c r="J886" i="34"/>
  <c r="A886" i="34"/>
  <c r="J885" i="34"/>
  <c r="A885" i="34"/>
  <c r="J884" i="34"/>
  <c r="A884" i="34"/>
  <c r="J883" i="34"/>
  <c r="F883" i="34"/>
  <c r="A883" i="34"/>
  <c r="J882" i="34"/>
  <c r="A882" i="34"/>
  <c r="J881" i="34"/>
  <c r="F881" i="34"/>
  <c r="A881" i="34"/>
  <c r="J880" i="34"/>
  <c r="A880" i="34"/>
  <c r="F880" i="34" s="1"/>
  <c r="J879" i="34"/>
  <c r="A879" i="34"/>
  <c r="J878" i="34"/>
  <c r="F878" i="34"/>
  <c r="A878" i="34"/>
  <c r="J877" i="34"/>
  <c r="A877" i="34"/>
  <c r="J876" i="34"/>
  <c r="F876" i="34"/>
  <c r="A876" i="34"/>
  <c r="J875" i="34"/>
  <c r="F875" i="34"/>
  <c r="A875" i="34"/>
  <c r="J874" i="34"/>
  <c r="A874" i="34"/>
  <c r="J873" i="34"/>
  <c r="A873" i="34"/>
  <c r="J872" i="34"/>
  <c r="A872" i="34"/>
  <c r="J871" i="34"/>
  <c r="A871" i="34"/>
  <c r="J870" i="34"/>
  <c r="A870" i="34"/>
  <c r="J869" i="34"/>
  <c r="A869" i="34"/>
  <c r="J868" i="34"/>
  <c r="A868" i="34"/>
  <c r="J867" i="34"/>
  <c r="A867" i="34"/>
  <c r="J866" i="34"/>
  <c r="A866" i="34"/>
  <c r="J865" i="34"/>
  <c r="A865" i="34"/>
  <c r="J864" i="34"/>
  <c r="A864" i="34"/>
  <c r="J863" i="34"/>
  <c r="A863" i="34"/>
  <c r="J862" i="34"/>
  <c r="A862" i="34"/>
  <c r="J861" i="34"/>
  <c r="A861" i="34"/>
  <c r="J860" i="34"/>
  <c r="A860" i="34"/>
  <c r="J859" i="34"/>
  <c r="A859" i="34"/>
  <c r="J858" i="34"/>
  <c r="A858" i="34"/>
  <c r="J857" i="34"/>
  <c r="A857" i="34"/>
  <c r="J856" i="34"/>
  <c r="A856" i="34"/>
  <c r="J855" i="34"/>
  <c r="A855" i="34"/>
  <c r="J854" i="34"/>
  <c r="A854" i="34"/>
  <c r="J853" i="34"/>
  <c r="F853" i="34"/>
  <c r="A853" i="34"/>
  <c r="J852" i="34"/>
  <c r="F852" i="34"/>
  <c r="A852" i="34"/>
  <c r="J851" i="34"/>
  <c r="A851" i="34"/>
  <c r="F851" i="34" s="1"/>
  <c r="J850" i="34"/>
  <c r="A850" i="34"/>
  <c r="J849" i="34"/>
  <c r="A849" i="34"/>
  <c r="J848" i="34"/>
  <c r="F848" i="34"/>
  <c r="A848" i="34"/>
  <c r="J847" i="34"/>
  <c r="F847" i="34"/>
  <c r="A847" i="34"/>
  <c r="J846" i="34"/>
  <c r="F846" i="34"/>
  <c r="A846" i="34"/>
  <c r="J845" i="34"/>
  <c r="A845" i="34"/>
  <c r="J844" i="34"/>
  <c r="F844" i="34"/>
  <c r="A844" i="34"/>
  <c r="J843" i="34"/>
  <c r="A843" i="34"/>
  <c r="J842" i="34"/>
  <c r="A842" i="34"/>
  <c r="J841" i="34"/>
  <c r="F841" i="34"/>
  <c r="A841" i="34"/>
  <c r="J840" i="34"/>
  <c r="F840" i="34"/>
  <c r="A840" i="34"/>
  <c r="J839" i="34"/>
  <c r="F839" i="34"/>
  <c r="A839" i="34"/>
  <c r="J838" i="34"/>
  <c r="F838" i="34"/>
  <c r="A838" i="34"/>
  <c r="J837" i="34"/>
  <c r="F837" i="34"/>
  <c r="A837" i="34"/>
  <c r="J836" i="34"/>
  <c r="A836" i="34"/>
  <c r="J835" i="34"/>
  <c r="A835" i="34"/>
  <c r="J834" i="34"/>
  <c r="A834" i="34"/>
  <c r="J833" i="34"/>
  <c r="A833" i="34"/>
  <c r="F833" i="34" s="1"/>
  <c r="J832" i="34"/>
  <c r="A832" i="34"/>
  <c r="J831" i="34"/>
  <c r="A831" i="34"/>
  <c r="J830" i="34"/>
  <c r="A830" i="34"/>
  <c r="J829" i="34"/>
  <c r="A829" i="34"/>
  <c r="J828" i="34"/>
  <c r="A828" i="34"/>
  <c r="J827" i="34"/>
  <c r="A827" i="34"/>
  <c r="J826" i="34"/>
  <c r="A826" i="34"/>
  <c r="J825" i="34"/>
  <c r="A825" i="34"/>
  <c r="J824" i="34"/>
  <c r="A824" i="34"/>
  <c r="J823" i="34"/>
  <c r="A823" i="34"/>
  <c r="J822" i="34"/>
  <c r="F822" i="34"/>
  <c r="A822" i="34"/>
  <c r="J821" i="34"/>
  <c r="F821" i="34"/>
  <c r="A821" i="34"/>
  <c r="J820" i="34"/>
  <c r="A820" i="34"/>
  <c r="J819" i="34"/>
  <c r="F819" i="34"/>
  <c r="A819" i="34"/>
  <c r="J818" i="34"/>
  <c r="A818" i="34"/>
  <c r="J817" i="34"/>
  <c r="A817" i="34"/>
  <c r="J816" i="34"/>
  <c r="F816" i="34"/>
  <c r="A816" i="34"/>
  <c r="J815" i="34"/>
  <c r="F815" i="34"/>
  <c r="A815" i="34"/>
  <c r="J814" i="34"/>
  <c r="F814" i="34"/>
  <c r="A814" i="34"/>
  <c r="J813" i="34"/>
  <c r="A813" i="34"/>
  <c r="J812" i="34"/>
  <c r="F812" i="34"/>
  <c r="A812" i="34"/>
  <c r="J811" i="34"/>
  <c r="A811" i="34"/>
  <c r="J810" i="34"/>
  <c r="A810" i="34"/>
  <c r="J809" i="34"/>
  <c r="F809" i="34"/>
  <c r="A809" i="34"/>
  <c r="J808" i="34"/>
  <c r="F808" i="34"/>
  <c r="A808" i="34"/>
  <c r="J807" i="34"/>
  <c r="F807" i="34"/>
  <c r="A807" i="34"/>
  <c r="J806" i="34"/>
  <c r="F806" i="34"/>
  <c r="A806" i="34"/>
  <c r="J805" i="34"/>
  <c r="F805" i="34"/>
  <c r="A805" i="34"/>
  <c r="J804" i="34"/>
  <c r="A804" i="34"/>
  <c r="J803" i="34"/>
  <c r="A803" i="34"/>
  <c r="J802" i="34"/>
  <c r="A802" i="34"/>
  <c r="J801" i="34"/>
  <c r="A801" i="34"/>
  <c r="J800" i="34"/>
  <c r="F800" i="34"/>
  <c r="A800" i="34"/>
  <c r="J799" i="34"/>
  <c r="F799" i="34"/>
  <c r="A799" i="34"/>
  <c r="J798" i="34"/>
  <c r="A798" i="34"/>
  <c r="J797" i="34"/>
  <c r="A797" i="34"/>
  <c r="J796" i="34"/>
  <c r="A796" i="34"/>
  <c r="F796" i="34" s="1"/>
  <c r="J795" i="34"/>
  <c r="A795" i="34"/>
  <c r="J794" i="34"/>
  <c r="A794" i="34"/>
  <c r="J793" i="34"/>
  <c r="F793" i="34"/>
  <c r="A793" i="34"/>
  <c r="J792" i="34"/>
  <c r="F792" i="34"/>
  <c r="F867" i="34" s="1"/>
  <c r="A792" i="34"/>
  <c r="J791" i="34"/>
  <c r="F791" i="34"/>
  <c r="A791" i="34"/>
  <c r="J790" i="34"/>
  <c r="F790" i="34"/>
  <c r="A790" i="34"/>
  <c r="J789" i="34"/>
  <c r="F789" i="34"/>
  <c r="A789" i="34"/>
  <c r="J788" i="34"/>
  <c r="A788" i="34"/>
  <c r="J787" i="34"/>
  <c r="A787" i="34"/>
  <c r="J786" i="34"/>
  <c r="A786" i="34"/>
  <c r="J785" i="34"/>
  <c r="A785" i="34"/>
  <c r="J784" i="34"/>
  <c r="A784" i="34"/>
  <c r="J783" i="34"/>
  <c r="A783" i="34"/>
  <c r="J782" i="34"/>
  <c r="A782" i="34"/>
  <c r="J781" i="34"/>
  <c r="A781" i="34"/>
  <c r="J780" i="34"/>
  <c r="A780" i="34"/>
  <c r="J779" i="34"/>
  <c r="A779" i="34"/>
  <c r="J778" i="34"/>
  <c r="A778" i="34"/>
  <c r="J777" i="34"/>
  <c r="A777" i="34"/>
  <c r="J776" i="34"/>
  <c r="A776" i="34"/>
  <c r="J775" i="34"/>
  <c r="A775" i="34"/>
  <c r="J774" i="34"/>
  <c r="A774" i="34"/>
  <c r="J773" i="34"/>
  <c r="A773" i="34"/>
  <c r="J772" i="34"/>
  <c r="A772" i="34"/>
  <c r="J771" i="34"/>
  <c r="A771" i="34"/>
  <c r="J770" i="34"/>
  <c r="A770" i="34"/>
  <c r="J769" i="34"/>
  <c r="F769" i="34"/>
  <c r="A769" i="34"/>
  <c r="J768" i="34"/>
  <c r="F768" i="34"/>
  <c r="A768" i="34"/>
  <c r="J767" i="34"/>
  <c r="A767" i="34"/>
  <c r="J766" i="34"/>
  <c r="A766" i="34"/>
  <c r="J765" i="34"/>
  <c r="A765" i="34"/>
  <c r="J764" i="34"/>
  <c r="A764" i="34"/>
  <c r="F764" i="34" s="1"/>
  <c r="J763" i="34"/>
  <c r="A763" i="34"/>
  <c r="J762" i="34"/>
  <c r="F762" i="34"/>
  <c r="A762" i="34"/>
  <c r="J761" i="34"/>
  <c r="F761" i="34"/>
  <c r="A761" i="34"/>
  <c r="J760" i="34"/>
  <c r="F760" i="34"/>
  <c r="A760" i="34"/>
  <c r="J759" i="34"/>
  <c r="A759" i="34"/>
  <c r="J758" i="34"/>
  <c r="A758" i="34"/>
  <c r="J757" i="34"/>
  <c r="A757" i="34"/>
  <c r="J756" i="34"/>
  <c r="A756" i="34"/>
  <c r="F756" i="34" s="1"/>
  <c r="J755" i="34"/>
  <c r="A755" i="34"/>
  <c r="J754" i="34"/>
  <c r="A754" i="34"/>
  <c r="J753" i="34"/>
  <c r="A753" i="34"/>
  <c r="J752" i="34"/>
  <c r="A752" i="34"/>
  <c r="J751" i="34"/>
  <c r="A751" i="34"/>
  <c r="J750" i="34"/>
  <c r="A750" i="34"/>
  <c r="J749" i="34"/>
  <c r="A749" i="34"/>
  <c r="J748" i="34"/>
  <c r="A748" i="34"/>
  <c r="J747" i="34"/>
  <c r="A747" i="34"/>
  <c r="J746" i="34"/>
  <c r="F746" i="34"/>
  <c r="A746" i="34"/>
  <c r="J745" i="34"/>
  <c r="F745" i="34"/>
  <c r="A745" i="34"/>
  <c r="J744" i="34"/>
  <c r="A744" i="34"/>
  <c r="J743" i="34"/>
  <c r="A743" i="34"/>
  <c r="J742" i="34"/>
  <c r="A742" i="34"/>
  <c r="J741" i="34"/>
  <c r="A741" i="34"/>
  <c r="F741" i="34" s="1"/>
  <c r="J740" i="34"/>
  <c r="A740" i="34"/>
  <c r="J739" i="34"/>
  <c r="F739" i="34"/>
  <c r="A739" i="34"/>
  <c r="J738" i="34"/>
  <c r="F738" i="34"/>
  <c r="A738" i="34"/>
  <c r="J737" i="34"/>
  <c r="F737" i="34"/>
  <c r="A737" i="34"/>
  <c r="J736" i="34"/>
  <c r="A736" i="34"/>
  <c r="J735" i="34"/>
  <c r="A735" i="34"/>
  <c r="J734" i="34"/>
  <c r="F734" i="34"/>
  <c r="A734" i="34"/>
  <c r="J733" i="34"/>
  <c r="F733" i="34"/>
  <c r="A733" i="34"/>
  <c r="J732" i="34"/>
  <c r="A732" i="34"/>
  <c r="J731" i="34"/>
  <c r="A731" i="34"/>
  <c r="J730" i="34"/>
  <c r="A730" i="34"/>
  <c r="J729" i="34"/>
  <c r="A729" i="34"/>
  <c r="J728" i="34"/>
  <c r="A728" i="34"/>
  <c r="J727" i="34"/>
  <c r="F727" i="34"/>
  <c r="A727" i="34"/>
  <c r="J726" i="34"/>
  <c r="A726" i="34"/>
  <c r="J725" i="34"/>
  <c r="F725" i="34"/>
  <c r="F781" i="34" s="1"/>
  <c r="A725" i="34"/>
  <c r="J724" i="34"/>
  <c r="F724" i="34"/>
  <c r="A724" i="34"/>
  <c r="J723" i="34"/>
  <c r="F723" i="34"/>
  <c r="A723" i="34"/>
  <c r="J722" i="34"/>
  <c r="A722" i="34"/>
  <c r="J721" i="34"/>
  <c r="A721" i="34"/>
  <c r="J720" i="34"/>
  <c r="A720" i="34"/>
  <c r="J719" i="34"/>
  <c r="A719" i="34"/>
  <c r="J718" i="34"/>
  <c r="A718" i="34"/>
  <c r="J717" i="34"/>
  <c r="A717" i="34"/>
  <c r="J716" i="34"/>
  <c r="A716" i="34"/>
  <c r="J715" i="34"/>
  <c r="A715" i="34"/>
  <c r="J714" i="34"/>
  <c r="A714" i="34"/>
  <c r="J713" i="34"/>
  <c r="A713" i="34"/>
  <c r="J712" i="34"/>
  <c r="A712" i="34"/>
  <c r="J711" i="34"/>
  <c r="A711" i="34"/>
  <c r="J710" i="34"/>
  <c r="A710" i="34"/>
  <c r="J709" i="34"/>
  <c r="A709" i="34"/>
  <c r="J708" i="34"/>
  <c r="A708" i="34"/>
  <c r="J707" i="34"/>
  <c r="A707" i="34"/>
  <c r="J706" i="34"/>
  <c r="A706" i="34"/>
  <c r="J705" i="34"/>
  <c r="A705" i="34"/>
  <c r="J704" i="34"/>
  <c r="A704" i="34"/>
  <c r="J703" i="34"/>
  <c r="A703" i="34"/>
  <c r="J702" i="34"/>
  <c r="A702" i="34"/>
  <c r="J701" i="34"/>
  <c r="F701" i="34"/>
  <c r="A701" i="34"/>
  <c r="J700" i="34"/>
  <c r="F700" i="34"/>
  <c r="A700" i="34"/>
  <c r="J699" i="34"/>
  <c r="A699" i="34"/>
  <c r="F699" i="34" s="1"/>
  <c r="J698" i="34"/>
  <c r="A698" i="34"/>
  <c r="J697" i="34"/>
  <c r="A697" i="34"/>
  <c r="J696" i="34"/>
  <c r="F696" i="34"/>
  <c r="A696" i="34"/>
  <c r="J695" i="34"/>
  <c r="F695" i="34"/>
  <c r="A695" i="34"/>
  <c r="J694" i="34"/>
  <c r="F694" i="34"/>
  <c r="A694" i="34"/>
  <c r="J693" i="34"/>
  <c r="A693" i="34"/>
  <c r="J692" i="34"/>
  <c r="A692" i="34"/>
  <c r="J691" i="34"/>
  <c r="A691" i="34"/>
  <c r="J690" i="34"/>
  <c r="A690" i="34"/>
  <c r="F690" i="34" s="1"/>
  <c r="J689" i="34"/>
  <c r="A689" i="34"/>
  <c r="J688" i="34"/>
  <c r="A688" i="34"/>
  <c r="J687" i="34"/>
  <c r="A687" i="34"/>
  <c r="J686" i="34"/>
  <c r="A686" i="34"/>
  <c r="J685" i="34"/>
  <c r="A685" i="34"/>
  <c r="J684" i="34"/>
  <c r="A684" i="34"/>
  <c r="J683" i="34"/>
  <c r="A683" i="34"/>
  <c r="J682" i="34"/>
  <c r="A682" i="34"/>
  <c r="J681" i="34"/>
  <c r="A681" i="34"/>
  <c r="J680" i="34"/>
  <c r="A680" i="34"/>
  <c r="J679" i="34"/>
  <c r="A679" i="34"/>
  <c r="J678" i="34"/>
  <c r="F678" i="34"/>
  <c r="A678" i="34"/>
  <c r="J677" i="34"/>
  <c r="F677" i="34"/>
  <c r="A677" i="34"/>
  <c r="J676" i="34"/>
  <c r="A676" i="34"/>
  <c r="F676" i="34" s="1"/>
  <c r="J675" i="34"/>
  <c r="A675" i="34"/>
  <c r="J674" i="34"/>
  <c r="A674" i="34"/>
  <c r="J673" i="34"/>
  <c r="F673" i="34"/>
  <c r="A673" i="34"/>
  <c r="J672" i="34"/>
  <c r="F672" i="34"/>
  <c r="A672" i="34"/>
  <c r="J671" i="34"/>
  <c r="F671" i="34"/>
  <c r="A671" i="34"/>
  <c r="J670" i="34"/>
  <c r="A670" i="34"/>
  <c r="J669" i="34"/>
  <c r="A669" i="34"/>
  <c r="J668" i="34"/>
  <c r="A668" i="34"/>
  <c r="J667" i="34"/>
  <c r="A667" i="34"/>
  <c r="J666" i="34"/>
  <c r="F666" i="34"/>
  <c r="A666" i="34"/>
  <c r="J665" i="34"/>
  <c r="F665" i="34"/>
  <c r="A665" i="34"/>
  <c r="J664" i="34"/>
  <c r="A664" i="34"/>
  <c r="J663" i="34"/>
  <c r="A663" i="34"/>
  <c r="J662" i="34"/>
  <c r="A662" i="34"/>
  <c r="F662" i="34" s="1"/>
  <c r="J661" i="34"/>
  <c r="A661" i="34"/>
  <c r="J660" i="34"/>
  <c r="A660" i="34"/>
  <c r="J659" i="34"/>
  <c r="F659" i="34"/>
  <c r="F715" i="34" s="1"/>
  <c r="A659" i="34"/>
  <c r="J658" i="34"/>
  <c r="F658" i="34"/>
  <c r="A658" i="34"/>
  <c r="J657" i="34"/>
  <c r="F657" i="34"/>
  <c r="A657" i="34"/>
  <c r="J656" i="34"/>
  <c r="A656" i="34"/>
  <c r="J655" i="34"/>
  <c r="A655" i="34"/>
  <c r="J654" i="34"/>
  <c r="A654" i="34"/>
  <c r="J653" i="34"/>
  <c r="A653" i="34"/>
  <c r="J652" i="34"/>
  <c r="A652" i="34"/>
  <c r="J651" i="34"/>
  <c r="A651" i="34"/>
  <c r="J650" i="34"/>
  <c r="A650" i="34"/>
  <c r="J649" i="34"/>
  <c r="A649" i="34"/>
  <c r="J648" i="34"/>
  <c r="A648" i="34"/>
  <c r="J647" i="34"/>
  <c r="A647" i="34"/>
  <c r="J646" i="34"/>
  <c r="A646" i="34"/>
  <c r="J645" i="34"/>
  <c r="A645" i="34"/>
  <c r="J644" i="34"/>
  <c r="A644" i="34"/>
  <c r="J643" i="34"/>
  <c r="A643" i="34"/>
  <c r="J642" i="34"/>
  <c r="A642" i="34"/>
  <c r="J641" i="34"/>
  <c r="A641" i="34"/>
  <c r="J640" i="34"/>
  <c r="A640" i="34"/>
  <c r="J639" i="34"/>
  <c r="A639" i="34"/>
  <c r="J638" i="34"/>
  <c r="A638" i="34"/>
  <c r="J637" i="34"/>
  <c r="A637" i="34"/>
  <c r="J636" i="34"/>
  <c r="A636" i="34"/>
  <c r="J635" i="34"/>
  <c r="F635" i="34"/>
  <c r="A635" i="34"/>
  <c r="J634" i="34"/>
  <c r="F634" i="34"/>
  <c r="A634" i="34"/>
  <c r="J633" i="34"/>
  <c r="A633" i="34"/>
  <c r="F633" i="34" s="1"/>
  <c r="J632" i="34"/>
  <c r="A632" i="34"/>
  <c r="J631" i="34"/>
  <c r="A631" i="34"/>
  <c r="J630" i="34"/>
  <c r="F630" i="34"/>
  <c r="A630" i="34"/>
  <c r="J629" i="34"/>
  <c r="F629" i="34"/>
  <c r="A629" i="34"/>
  <c r="J628" i="34"/>
  <c r="F628" i="34"/>
  <c r="A628" i="34"/>
  <c r="J627" i="34"/>
  <c r="A627" i="34"/>
  <c r="J626" i="34"/>
  <c r="A626" i="34"/>
  <c r="J625" i="34"/>
  <c r="A625" i="34"/>
  <c r="J624" i="34"/>
  <c r="A624" i="34"/>
  <c r="F624" i="34" s="1"/>
  <c r="J623" i="34"/>
  <c r="A623" i="34"/>
  <c r="J622" i="34"/>
  <c r="A622" i="34"/>
  <c r="J621" i="34"/>
  <c r="A621" i="34"/>
  <c r="J620" i="34"/>
  <c r="A620" i="34"/>
  <c r="J619" i="34"/>
  <c r="A619" i="34"/>
  <c r="J618" i="34"/>
  <c r="A618" i="34"/>
  <c r="J617" i="34"/>
  <c r="A617" i="34"/>
  <c r="J616" i="34"/>
  <c r="A616" i="34"/>
  <c r="J615" i="34"/>
  <c r="A615" i="34"/>
  <c r="J614" i="34"/>
  <c r="A614" i="34"/>
  <c r="J613" i="34"/>
  <c r="A613" i="34"/>
  <c r="J612" i="34"/>
  <c r="F612" i="34"/>
  <c r="A612" i="34"/>
  <c r="J611" i="34"/>
  <c r="F611" i="34"/>
  <c r="A611" i="34"/>
  <c r="J610" i="34"/>
  <c r="A610" i="34"/>
  <c r="F610" i="34" s="1"/>
  <c r="J609" i="34"/>
  <c r="A609" i="34"/>
  <c r="J608" i="34"/>
  <c r="A608" i="34"/>
  <c r="J607" i="34"/>
  <c r="F607" i="34"/>
  <c r="A607" i="34"/>
  <c r="J606" i="34"/>
  <c r="F606" i="34"/>
  <c r="A606" i="34"/>
  <c r="J605" i="34"/>
  <c r="F605" i="34"/>
  <c r="A605" i="34"/>
  <c r="J604" i="34"/>
  <c r="A604" i="34"/>
  <c r="J603" i="34"/>
  <c r="A603" i="34"/>
  <c r="J602" i="34"/>
  <c r="A602" i="34"/>
  <c r="J601" i="34"/>
  <c r="A601" i="34"/>
  <c r="J600" i="34"/>
  <c r="F600" i="34"/>
  <c r="A600" i="34"/>
  <c r="J599" i="34"/>
  <c r="F599" i="34"/>
  <c r="A599" i="34"/>
  <c r="J598" i="34"/>
  <c r="A598" i="34"/>
  <c r="J597" i="34"/>
  <c r="A597" i="34"/>
  <c r="J596" i="34"/>
  <c r="F596" i="34"/>
  <c r="A596" i="34"/>
  <c r="J595" i="34"/>
  <c r="A595" i="34"/>
  <c r="J594" i="34"/>
  <c r="A594" i="34"/>
  <c r="J593" i="34"/>
  <c r="F593" i="34"/>
  <c r="F649" i="34" s="1"/>
  <c r="A593" i="34"/>
  <c r="J592" i="34"/>
  <c r="F592" i="34"/>
  <c r="A592" i="34"/>
  <c r="J591" i="34"/>
  <c r="F591" i="34"/>
  <c r="A591" i="34"/>
  <c r="J590" i="34"/>
  <c r="A590" i="34"/>
  <c r="J589" i="34"/>
  <c r="A589" i="34"/>
  <c r="J588" i="34"/>
  <c r="A588" i="34"/>
  <c r="J587" i="34"/>
  <c r="A587" i="34"/>
  <c r="J586" i="34"/>
  <c r="A586" i="34"/>
  <c r="J585" i="34"/>
  <c r="A585" i="34"/>
  <c r="J584" i="34"/>
  <c r="A584" i="34"/>
  <c r="J583" i="34"/>
  <c r="A583" i="34"/>
  <c r="J582" i="34"/>
  <c r="A582" i="34"/>
  <c r="J581" i="34"/>
  <c r="A581" i="34"/>
  <c r="J580" i="34"/>
  <c r="A580" i="34"/>
  <c r="J579" i="34"/>
  <c r="A579" i="34"/>
  <c r="J578" i="34"/>
  <c r="A578" i="34"/>
  <c r="J577" i="34"/>
  <c r="A577" i="34"/>
  <c r="J576" i="34"/>
  <c r="A576" i="34"/>
  <c r="J575" i="34"/>
  <c r="A575" i="34"/>
  <c r="J574" i="34"/>
  <c r="A574" i="34"/>
  <c r="J573" i="34"/>
  <c r="A573" i="34"/>
  <c r="J572" i="34"/>
  <c r="A572" i="34"/>
  <c r="J571" i="34"/>
  <c r="A571" i="34"/>
  <c r="J570" i="34"/>
  <c r="A570" i="34"/>
  <c r="J569" i="34"/>
  <c r="F569" i="34"/>
  <c r="A569" i="34"/>
  <c r="J568" i="34"/>
  <c r="F568" i="34"/>
  <c r="A568" i="34"/>
  <c r="J567" i="34"/>
  <c r="F567" i="34"/>
  <c r="A567" i="34"/>
  <c r="J566" i="34"/>
  <c r="A566" i="34"/>
  <c r="J565" i="34"/>
  <c r="A565" i="34"/>
  <c r="J564" i="34"/>
  <c r="F564" i="34"/>
  <c r="A564" i="34"/>
  <c r="J563" i="34"/>
  <c r="F563" i="34"/>
  <c r="A563" i="34"/>
  <c r="J562" i="34"/>
  <c r="F562" i="34"/>
  <c r="A562" i="34"/>
  <c r="J561" i="34"/>
  <c r="A561" i="34"/>
  <c r="J560" i="34"/>
  <c r="A560" i="34"/>
  <c r="J559" i="34"/>
  <c r="A559" i="34"/>
  <c r="J558" i="34"/>
  <c r="A558" i="34"/>
  <c r="F558" i="34" s="1"/>
  <c r="J557" i="34"/>
  <c r="A557" i="34"/>
  <c r="J556" i="34"/>
  <c r="A556" i="34"/>
  <c r="J555" i="34"/>
  <c r="A555" i="34"/>
  <c r="J554" i="34"/>
  <c r="A554" i="34"/>
  <c r="J553" i="34"/>
  <c r="A553" i="34"/>
  <c r="J552" i="34"/>
  <c r="A552" i="34"/>
  <c r="J551" i="34"/>
  <c r="A551" i="34"/>
  <c r="J550" i="34"/>
  <c r="A550" i="34"/>
  <c r="J549" i="34"/>
  <c r="A549" i="34"/>
  <c r="J548" i="34"/>
  <c r="A548" i="34"/>
  <c r="J547" i="34"/>
  <c r="A547" i="34"/>
  <c r="J546" i="34"/>
  <c r="F546" i="34"/>
  <c r="A546" i="34"/>
  <c r="J545" i="34"/>
  <c r="F545" i="34"/>
  <c r="A545" i="34"/>
  <c r="J544" i="34"/>
  <c r="A544" i="34"/>
  <c r="F544" i="34" s="1"/>
  <c r="J543" i="34"/>
  <c r="A543" i="34"/>
  <c r="J542" i="34"/>
  <c r="A542" i="34"/>
  <c r="J541" i="34"/>
  <c r="F541" i="34"/>
  <c r="A541" i="34"/>
  <c r="J540" i="34"/>
  <c r="F540" i="34"/>
  <c r="A540" i="34"/>
  <c r="J539" i="34"/>
  <c r="F539" i="34"/>
  <c r="A539" i="34"/>
  <c r="J538" i="34"/>
  <c r="A538" i="34"/>
  <c r="J537" i="34"/>
  <c r="A537" i="34"/>
  <c r="J536" i="34"/>
  <c r="A536" i="34"/>
  <c r="J535" i="34"/>
  <c r="A535" i="34"/>
  <c r="J534" i="34"/>
  <c r="F534" i="34"/>
  <c r="A534" i="34"/>
  <c r="J533" i="34"/>
  <c r="F533" i="34"/>
  <c r="A533" i="34"/>
  <c r="J532" i="34"/>
  <c r="A532" i="34"/>
  <c r="J531" i="34"/>
  <c r="A531" i="34"/>
  <c r="J530" i="34"/>
  <c r="F530" i="34"/>
  <c r="A530" i="34"/>
  <c r="J529" i="34"/>
  <c r="A529" i="34"/>
  <c r="J528" i="34"/>
  <c r="A528" i="34"/>
  <c r="J527" i="34"/>
  <c r="F527" i="34"/>
  <c r="F583" i="34" s="1"/>
  <c r="A527" i="34"/>
  <c r="J526" i="34"/>
  <c r="F526" i="34"/>
  <c r="A526" i="34"/>
  <c r="J525" i="34"/>
  <c r="F525" i="34"/>
  <c r="A525" i="34"/>
  <c r="J524" i="34"/>
  <c r="A524" i="34"/>
  <c r="J523" i="34"/>
  <c r="A523" i="34"/>
  <c r="J522" i="34"/>
  <c r="A522" i="34"/>
  <c r="J521" i="34"/>
  <c r="A521" i="34"/>
  <c r="J520" i="34"/>
  <c r="A520" i="34"/>
  <c r="J519" i="34"/>
  <c r="A519" i="34"/>
  <c r="J518" i="34"/>
  <c r="A518" i="34"/>
  <c r="J517" i="34"/>
  <c r="A517" i="34"/>
  <c r="J516" i="34"/>
  <c r="A516" i="34"/>
  <c r="J515" i="34"/>
  <c r="A515" i="34"/>
  <c r="J514" i="34"/>
  <c r="A514" i="34"/>
  <c r="J513" i="34"/>
  <c r="A513" i="34"/>
  <c r="J512" i="34"/>
  <c r="A512" i="34"/>
  <c r="J511" i="34"/>
  <c r="A511" i="34"/>
  <c r="J510" i="34"/>
  <c r="A510" i="34"/>
  <c r="J509" i="34"/>
  <c r="A509" i="34"/>
  <c r="J508" i="34"/>
  <c r="A508" i="34"/>
  <c r="J507" i="34"/>
  <c r="A507" i="34"/>
  <c r="J506" i="34"/>
  <c r="A506" i="34"/>
  <c r="J505" i="34"/>
  <c r="F505" i="34"/>
  <c r="A505" i="34"/>
  <c r="J504" i="34"/>
  <c r="A504" i="34"/>
  <c r="J503" i="34"/>
  <c r="A503" i="34"/>
  <c r="J502" i="34"/>
  <c r="F502" i="34"/>
  <c r="A502" i="34"/>
  <c r="J501" i="34"/>
  <c r="F501" i="34"/>
  <c r="A501" i="34"/>
  <c r="J500" i="34"/>
  <c r="F500" i="34"/>
  <c r="A500" i="34"/>
  <c r="J499" i="34"/>
  <c r="A499" i="34"/>
  <c r="J498" i="34"/>
  <c r="A498" i="34"/>
  <c r="J497" i="34"/>
  <c r="F497" i="34"/>
  <c r="A497" i="34"/>
  <c r="J496" i="34"/>
  <c r="F496" i="34"/>
  <c r="A496" i="34"/>
  <c r="J495" i="34"/>
  <c r="F495" i="34"/>
  <c r="A495" i="34"/>
  <c r="J494" i="34"/>
  <c r="A494" i="34"/>
  <c r="J493" i="34"/>
  <c r="A493" i="34"/>
  <c r="J492" i="34"/>
  <c r="A492" i="34"/>
  <c r="J491" i="34"/>
  <c r="F491" i="34"/>
  <c r="A491" i="34"/>
  <c r="J490" i="34"/>
  <c r="A490" i="34"/>
  <c r="J489" i="34"/>
  <c r="A489" i="34"/>
  <c r="J488" i="34"/>
  <c r="F488" i="34"/>
  <c r="A488" i="34"/>
  <c r="J487" i="34"/>
  <c r="A487" i="34"/>
  <c r="J486" i="34"/>
  <c r="A486" i="34"/>
  <c r="J485" i="34"/>
  <c r="A485" i="34"/>
  <c r="J484" i="34"/>
  <c r="A484" i="34"/>
  <c r="J483" i="34"/>
  <c r="A483" i="34"/>
  <c r="J482" i="34"/>
  <c r="A482" i="34"/>
  <c r="J481" i="34"/>
  <c r="A481" i="34"/>
  <c r="J480" i="34"/>
  <c r="A480" i="34"/>
  <c r="J479" i="34"/>
  <c r="F479" i="34"/>
  <c r="A479" i="34"/>
  <c r="J478" i="34"/>
  <c r="F478" i="34"/>
  <c r="A478" i="34"/>
  <c r="J477" i="34"/>
  <c r="A477" i="34"/>
  <c r="F477" i="34" s="1"/>
  <c r="J476" i="34"/>
  <c r="A476" i="34"/>
  <c r="J475" i="34"/>
  <c r="A475" i="34"/>
  <c r="J474" i="34"/>
  <c r="F474" i="34"/>
  <c r="A474" i="34"/>
  <c r="J473" i="34"/>
  <c r="F473" i="34"/>
  <c r="A473" i="34"/>
  <c r="J472" i="34"/>
  <c r="F472" i="34"/>
  <c r="A472" i="34"/>
  <c r="J471" i="34"/>
  <c r="A471" i="34"/>
  <c r="J470" i="34"/>
  <c r="A470" i="34"/>
  <c r="J469" i="34"/>
  <c r="A469" i="34"/>
  <c r="J468" i="34"/>
  <c r="F468" i="34"/>
  <c r="A468" i="34"/>
  <c r="J467" i="34"/>
  <c r="A467" i="34"/>
  <c r="J466" i="34"/>
  <c r="F466" i="34"/>
  <c r="A466" i="34"/>
  <c r="J465" i="34"/>
  <c r="F465" i="34"/>
  <c r="A465" i="34"/>
  <c r="J464" i="34"/>
  <c r="A464" i="34"/>
  <c r="J463" i="34"/>
  <c r="A463" i="34"/>
  <c r="J462" i="34"/>
  <c r="A462" i="34"/>
  <c r="F462" i="34" s="1"/>
  <c r="J461" i="34"/>
  <c r="A461" i="34"/>
  <c r="J460" i="34"/>
  <c r="A460" i="34"/>
  <c r="J459" i="34"/>
  <c r="F459" i="34"/>
  <c r="F517" i="34" s="1"/>
  <c r="A459" i="34"/>
  <c r="J458" i="34"/>
  <c r="F458" i="34"/>
  <c r="A458" i="34"/>
  <c r="J457" i="34"/>
  <c r="F457" i="34"/>
  <c r="A457" i="34"/>
  <c r="J456" i="34"/>
  <c r="A456" i="34"/>
  <c r="J455" i="34"/>
  <c r="A455" i="34"/>
  <c r="J454" i="34"/>
  <c r="A454" i="34"/>
  <c r="J453" i="34"/>
  <c r="A453" i="34"/>
  <c r="J452" i="34"/>
  <c r="A452" i="34"/>
  <c r="J451" i="34"/>
  <c r="A451" i="34"/>
  <c r="J450" i="34"/>
  <c r="A450" i="34"/>
  <c r="J449" i="34"/>
  <c r="A449" i="34"/>
  <c r="J448" i="34"/>
  <c r="A448" i="34"/>
  <c r="J447" i="34"/>
  <c r="A447" i="34"/>
  <c r="J446" i="34"/>
  <c r="A446" i="34"/>
  <c r="J445" i="34"/>
  <c r="A445" i="34"/>
  <c r="J444" i="34"/>
  <c r="A444" i="34"/>
  <c r="J443" i="34"/>
  <c r="A443" i="34"/>
  <c r="J442" i="34"/>
  <c r="A442" i="34"/>
  <c r="J441" i="34"/>
  <c r="A441" i="34"/>
  <c r="J440" i="34"/>
  <c r="A440" i="34"/>
  <c r="J439" i="34"/>
  <c r="A439" i="34"/>
  <c r="J438" i="34"/>
  <c r="A438" i="34"/>
  <c r="J437" i="34"/>
  <c r="F437" i="34"/>
  <c r="A437" i="34"/>
  <c r="J436" i="34"/>
  <c r="A436" i="34"/>
  <c r="J435" i="34"/>
  <c r="A435" i="34"/>
  <c r="J434" i="34"/>
  <c r="F434" i="34"/>
  <c r="A434" i="34"/>
  <c r="J433" i="34"/>
  <c r="F433" i="34"/>
  <c r="A433" i="34"/>
  <c r="J432" i="34"/>
  <c r="A432" i="34"/>
  <c r="F432" i="34" s="1"/>
  <c r="J431" i="34"/>
  <c r="A431" i="34"/>
  <c r="J430" i="34"/>
  <c r="A430" i="34"/>
  <c r="J429" i="34"/>
  <c r="F429" i="34"/>
  <c r="A429" i="34"/>
  <c r="J428" i="34"/>
  <c r="F428" i="34"/>
  <c r="A428" i="34"/>
  <c r="J427" i="34"/>
  <c r="F427" i="34"/>
  <c r="A427" i="34"/>
  <c r="J426" i="34"/>
  <c r="A426" i="34"/>
  <c r="J425" i="34"/>
  <c r="A425" i="34"/>
  <c r="J424" i="34"/>
  <c r="A424" i="34"/>
  <c r="J423" i="34"/>
  <c r="A423" i="34"/>
  <c r="F423" i="34" s="1"/>
  <c r="J422" i="34"/>
  <c r="A422" i="34"/>
  <c r="J421" i="34"/>
  <c r="A421" i="34"/>
  <c r="J420" i="34"/>
  <c r="F420" i="34"/>
  <c r="A420" i="34"/>
  <c r="J419" i="34"/>
  <c r="A419" i="34"/>
  <c r="J418" i="34"/>
  <c r="A418" i="34"/>
  <c r="J417" i="34"/>
  <c r="A417" i="34"/>
  <c r="J416" i="34"/>
  <c r="A416" i="34"/>
  <c r="J415" i="34"/>
  <c r="A415" i="34"/>
  <c r="J414" i="34"/>
  <c r="A414" i="34"/>
  <c r="J413" i="34"/>
  <c r="A413" i="34"/>
  <c r="J412" i="34"/>
  <c r="A412" i="34"/>
  <c r="J411" i="34"/>
  <c r="F411" i="34"/>
  <c r="A411" i="34"/>
  <c r="J410" i="34"/>
  <c r="F410" i="34"/>
  <c r="A410" i="34"/>
  <c r="J409" i="34"/>
  <c r="A409" i="34"/>
  <c r="F409" i="34" s="1"/>
  <c r="J408" i="34"/>
  <c r="A408" i="34"/>
  <c r="J407" i="34"/>
  <c r="A407" i="34"/>
  <c r="J406" i="34"/>
  <c r="F406" i="34"/>
  <c r="A406" i="34"/>
  <c r="J405" i="34"/>
  <c r="F405" i="34"/>
  <c r="A405" i="34"/>
  <c r="J404" i="34"/>
  <c r="F404" i="34"/>
  <c r="A404" i="34"/>
  <c r="J403" i="34"/>
  <c r="A403" i="34"/>
  <c r="J402" i="34"/>
  <c r="A402" i="34"/>
  <c r="J401" i="34"/>
  <c r="A401" i="34"/>
  <c r="J400" i="34"/>
  <c r="F400" i="34"/>
  <c r="A400" i="34"/>
  <c r="J399" i="34"/>
  <c r="A399" i="34"/>
  <c r="J398" i="34"/>
  <c r="F398" i="34"/>
  <c r="A398" i="34"/>
  <c r="J397" i="34"/>
  <c r="F397" i="34"/>
  <c r="A397" i="34"/>
  <c r="J396" i="34"/>
  <c r="A396" i="34"/>
  <c r="J395" i="34"/>
  <c r="A395" i="34"/>
  <c r="J394" i="34"/>
  <c r="A394" i="34"/>
  <c r="F394" i="34" s="1"/>
  <c r="J393" i="34"/>
  <c r="A393" i="34"/>
  <c r="J392" i="34"/>
  <c r="A392" i="34"/>
  <c r="J391" i="34"/>
  <c r="F391" i="34"/>
  <c r="F449" i="34" s="1"/>
  <c r="A391" i="34"/>
  <c r="J390" i="34"/>
  <c r="F390" i="34"/>
  <c r="A390" i="34"/>
  <c r="J389" i="34"/>
  <c r="F389" i="34"/>
  <c r="A389" i="34"/>
  <c r="J388" i="34"/>
  <c r="A388" i="34"/>
  <c r="J387" i="34"/>
  <c r="A387" i="34"/>
  <c r="J386" i="34"/>
  <c r="A386" i="34"/>
  <c r="J385" i="34"/>
  <c r="A385" i="34"/>
  <c r="J384" i="34"/>
  <c r="A384" i="34"/>
  <c r="J383" i="34"/>
  <c r="A383" i="34"/>
  <c r="J382" i="34"/>
  <c r="A382" i="34"/>
  <c r="J381" i="34"/>
  <c r="A381" i="34"/>
  <c r="J380" i="34"/>
  <c r="A380" i="34"/>
  <c r="J379" i="34"/>
  <c r="A379" i="34"/>
  <c r="J378" i="34"/>
  <c r="A378" i="34"/>
  <c r="J377" i="34"/>
  <c r="A377" i="34"/>
  <c r="J376" i="34"/>
  <c r="A376" i="34"/>
  <c r="J375" i="34"/>
  <c r="A375" i="34"/>
  <c r="J374" i="34"/>
  <c r="A374" i="34"/>
  <c r="J373" i="34"/>
  <c r="A373" i="34"/>
  <c r="J372" i="34"/>
  <c r="A372" i="34"/>
  <c r="J371" i="34"/>
  <c r="A371" i="34"/>
  <c r="J370" i="34"/>
  <c r="F370" i="34"/>
  <c r="A370" i="34"/>
  <c r="J369" i="34"/>
  <c r="A369" i="34"/>
  <c r="J368" i="34"/>
  <c r="A368" i="34"/>
  <c r="J367" i="34"/>
  <c r="F367" i="34"/>
  <c r="A367" i="34"/>
  <c r="J366" i="34"/>
  <c r="F366" i="34"/>
  <c r="A366" i="34"/>
  <c r="J365" i="34"/>
  <c r="A365" i="34"/>
  <c r="J364" i="34"/>
  <c r="F364" i="34"/>
  <c r="A364" i="34"/>
  <c r="J363" i="34"/>
  <c r="A363" i="34"/>
  <c r="J362" i="34"/>
  <c r="A362" i="34"/>
  <c r="J361" i="34"/>
  <c r="A361" i="34"/>
  <c r="J360" i="34"/>
  <c r="A360" i="34"/>
  <c r="J359" i="34"/>
  <c r="F359" i="34"/>
  <c r="A359" i="34"/>
  <c r="J358" i="34"/>
  <c r="A358" i="34"/>
  <c r="J357" i="34"/>
  <c r="A357" i="34"/>
  <c r="J356" i="34"/>
  <c r="A356" i="34"/>
  <c r="J355" i="34"/>
  <c r="A355" i="34"/>
  <c r="F355" i="34" s="1"/>
  <c r="J354" i="34"/>
  <c r="A354" i="34"/>
  <c r="J353" i="34"/>
  <c r="A353" i="34"/>
  <c r="J352" i="34"/>
  <c r="F352" i="34"/>
  <c r="F354" i="34" s="1"/>
  <c r="A352" i="34"/>
  <c r="J351" i="34"/>
  <c r="A351" i="34"/>
  <c r="J350" i="34"/>
  <c r="A350" i="34"/>
  <c r="J349" i="34"/>
  <c r="A349" i="34"/>
  <c r="J348" i="34"/>
  <c r="A348" i="34"/>
  <c r="J347" i="34"/>
  <c r="A347" i="34"/>
  <c r="J346" i="34"/>
  <c r="A346" i="34"/>
  <c r="J345" i="34"/>
  <c r="A345" i="34"/>
  <c r="J344" i="34"/>
  <c r="F344" i="34"/>
  <c r="A344" i="34"/>
  <c r="J343" i="34"/>
  <c r="F343" i="34"/>
  <c r="A343" i="34"/>
  <c r="J342" i="34"/>
  <c r="A342" i="34"/>
  <c r="J341" i="34"/>
  <c r="A341" i="34"/>
  <c r="F341" i="34" s="1"/>
  <c r="J340" i="34"/>
  <c r="A340" i="34"/>
  <c r="J339" i="34"/>
  <c r="A339" i="34"/>
  <c r="J338" i="34"/>
  <c r="A338" i="34"/>
  <c r="J337" i="34"/>
  <c r="A337" i="34"/>
  <c r="J336" i="34"/>
  <c r="F336" i="34"/>
  <c r="A336" i="34"/>
  <c r="J335" i="34"/>
  <c r="A335" i="34"/>
  <c r="J334" i="34"/>
  <c r="A334" i="34"/>
  <c r="J333" i="34"/>
  <c r="A333" i="34"/>
  <c r="J332" i="34"/>
  <c r="F332" i="34"/>
  <c r="A332" i="34"/>
  <c r="J331" i="34"/>
  <c r="A331" i="34"/>
  <c r="J330" i="34"/>
  <c r="A330" i="34"/>
  <c r="J329" i="34"/>
  <c r="F329" i="34"/>
  <c r="A329" i="34"/>
  <c r="J328" i="34"/>
  <c r="F328" i="34"/>
  <c r="A328" i="34"/>
  <c r="J327" i="34"/>
  <c r="A327" i="34"/>
  <c r="J326" i="34"/>
  <c r="A326" i="34"/>
  <c r="J325" i="34"/>
  <c r="A325" i="34"/>
  <c r="J324" i="34"/>
  <c r="F324" i="34"/>
  <c r="A324" i="34"/>
  <c r="J323" i="34"/>
  <c r="A323" i="34"/>
  <c r="J322" i="34"/>
  <c r="A322" i="34"/>
  <c r="J321" i="34"/>
  <c r="A321" i="34"/>
  <c r="J320" i="34"/>
  <c r="A320" i="34"/>
  <c r="J319" i="34"/>
  <c r="F319" i="34"/>
  <c r="F381" i="34" s="1"/>
  <c r="A319" i="34"/>
  <c r="J318" i="34"/>
  <c r="A318" i="34"/>
  <c r="J317" i="34"/>
  <c r="A317" i="34"/>
  <c r="J316" i="34"/>
  <c r="A316" i="34"/>
  <c r="J315" i="34"/>
  <c r="A315" i="34"/>
  <c r="J314" i="34"/>
  <c r="A314" i="34"/>
  <c r="J313" i="34"/>
  <c r="F313" i="34"/>
  <c r="A313" i="34"/>
  <c r="J312" i="34"/>
  <c r="A312" i="34"/>
  <c r="J311" i="34"/>
  <c r="F311" i="34"/>
  <c r="A311" i="34"/>
  <c r="J310" i="34"/>
  <c r="A310" i="34"/>
  <c r="J309" i="34"/>
  <c r="A309" i="34"/>
  <c r="J308" i="34"/>
  <c r="A308" i="34"/>
  <c r="J307" i="34"/>
  <c r="A307" i="34"/>
  <c r="J306" i="34"/>
  <c r="A306" i="34"/>
  <c r="J305" i="34"/>
  <c r="A305" i="34"/>
  <c r="J304" i="34"/>
  <c r="A304" i="34"/>
  <c r="J303" i="34"/>
  <c r="A303" i="34"/>
  <c r="J302" i="34"/>
  <c r="A302" i="34"/>
  <c r="J301" i="34"/>
  <c r="A301" i="34"/>
  <c r="J300" i="34"/>
  <c r="A300" i="34"/>
  <c r="J299" i="34"/>
  <c r="A299" i="34"/>
  <c r="J298" i="34"/>
  <c r="A298" i="34"/>
  <c r="J297" i="34"/>
  <c r="A297" i="34"/>
  <c r="J296" i="34"/>
  <c r="A296" i="34"/>
  <c r="J295" i="34"/>
  <c r="A295" i="34"/>
  <c r="J294" i="34"/>
  <c r="A294" i="34"/>
  <c r="J293" i="34"/>
  <c r="A293" i="34"/>
  <c r="J292" i="34"/>
  <c r="A292" i="34"/>
  <c r="J291" i="34"/>
  <c r="A291" i="34"/>
  <c r="J290" i="34"/>
  <c r="A290" i="34"/>
  <c r="J289" i="34"/>
  <c r="F289" i="34"/>
  <c r="A289" i="34"/>
  <c r="J288" i="34"/>
  <c r="A288" i="34"/>
  <c r="J287" i="34"/>
  <c r="F287" i="34"/>
  <c r="F314" i="34" s="1"/>
  <c r="A287" i="34"/>
  <c r="J286" i="34"/>
  <c r="A286" i="34"/>
  <c r="J285" i="34"/>
  <c r="A285" i="34"/>
  <c r="J284" i="34"/>
  <c r="A284" i="34"/>
  <c r="J283" i="34"/>
  <c r="F283" i="34"/>
  <c r="F310" i="34" s="1"/>
  <c r="A283" i="34"/>
  <c r="J282" i="34"/>
  <c r="A282" i="34"/>
  <c r="J281" i="34"/>
  <c r="A281" i="34"/>
  <c r="J280" i="34"/>
  <c r="A280" i="34"/>
  <c r="J279" i="34"/>
  <c r="A279" i="34"/>
  <c r="J278" i="34"/>
  <c r="A278" i="34"/>
  <c r="J277" i="34"/>
  <c r="F277" i="34"/>
  <c r="F280" i="34" s="1"/>
  <c r="A277" i="34"/>
  <c r="J276" i="34"/>
  <c r="A276" i="34"/>
  <c r="J275" i="34"/>
  <c r="A275" i="34"/>
  <c r="J274" i="34"/>
  <c r="A274" i="34"/>
  <c r="J273" i="34"/>
  <c r="A273" i="34"/>
  <c r="J272" i="34"/>
  <c r="F272" i="34"/>
  <c r="F274" i="34" s="1"/>
  <c r="F312" i="34" s="1"/>
  <c r="A272" i="34"/>
  <c r="J271" i="34"/>
  <c r="A271" i="34"/>
  <c r="J270" i="34"/>
  <c r="A270" i="34"/>
  <c r="J269" i="34"/>
  <c r="A269" i="34"/>
  <c r="J268" i="34"/>
  <c r="A268" i="34"/>
  <c r="J267" i="34"/>
  <c r="A267" i="34"/>
  <c r="J266" i="34"/>
  <c r="A266" i="34"/>
  <c r="J265" i="34"/>
  <c r="A265" i="34"/>
  <c r="J264" i="34"/>
  <c r="A264" i="34"/>
  <c r="J263" i="34"/>
  <c r="A263" i="34"/>
  <c r="J262" i="34"/>
  <c r="F262" i="34"/>
  <c r="A262" i="34"/>
  <c r="J261" i="34"/>
  <c r="A261" i="34"/>
  <c r="J260" i="34"/>
  <c r="A260" i="34"/>
  <c r="J259" i="34"/>
  <c r="A259" i="34"/>
  <c r="J258" i="34"/>
  <c r="A258" i="34"/>
  <c r="J257" i="34"/>
  <c r="A257" i="34"/>
  <c r="J256" i="34"/>
  <c r="A256" i="34"/>
  <c r="J255" i="34"/>
  <c r="A255" i="34"/>
  <c r="J254" i="34"/>
  <c r="A254" i="34"/>
  <c r="J253" i="34"/>
  <c r="A253" i="34"/>
  <c r="J252" i="34"/>
  <c r="A252" i="34"/>
  <c r="J251" i="34"/>
  <c r="F251" i="34"/>
  <c r="F265" i="34" s="1"/>
  <c r="A251" i="34"/>
  <c r="J250" i="34"/>
  <c r="A250" i="34"/>
  <c r="J249" i="34"/>
  <c r="A249" i="34"/>
  <c r="J248" i="34"/>
  <c r="A248" i="34"/>
  <c r="J247" i="34"/>
  <c r="A247" i="34"/>
  <c r="J246" i="34"/>
  <c r="A246" i="34"/>
  <c r="J245" i="34"/>
  <c r="F245" i="34"/>
  <c r="F248" i="34" s="1"/>
  <c r="F259" i="34" s="1"/>
  <c r="A245" i="34"/>
  <c r="J244" i="34"/>
  <c r="A244" i="34"/>
  <c r="J243" i="34"/>
  <c r="A243" i="34"/>
  <c r="J242" i="34"/>
  <c r="A242" i="34"/>
  <c r="J241" i="34"/>
  <c r="A241" i="34"/>
  <c r="J240" i="34"/>
  <c r="A240" i="34"/>
  <c r="J239" i="34"/>
  <c r="A239" i="34"/>
  <c r="J238" i="34"/>
  <c r="A238" i="34"/>
  <c r="J237" i="34"/>
  <c r="A237" i="34"/>
  <c r="J236" i="34"/>
  <c r="A236" i="34"/>
  <c r="J235" i="34"/>
  <c r="A235" i="34"/>
  <c r="J234" i="34"/>
  <c r="A234" i="34"/>
  <c r="J233" i="34"/>
  <c r="A233" i="34"/>
  <c r="J232" i="34"/>
  <c r="A232" i="34"/>
  <c r="J231" i="34"/>
  <c r="A231" i="34"/>
  <c r="J230" i="34"/>
  <c r="A230" i="34"/>
  <c r="J229" i="34"/>
  <c r="A229" i="34"/>
  <c r="J228" i="34"/>
  <c r="A228" i="34"/>
  <c r="J227" i="34"/>
  <c r="A227" i="34"/>
  <c r="J226" i="34"/>
  <c r="A226" i="34"/>
  <c r="J225" i="34"/>
  <c r="A225" i="34"/>
  <c r="J224" i="34"/>
  <c r="A224" i="34"/>
  <c r="J223" i="34"/>
  <c r="A223" i="34"/>
  <c r="J222" i="34"/>
  <c r="A222" i="34"/>
  <c r="J221" i="34"/>
  <c r="A221" i="34"/>
  <c r="J220" i="34"/>
  <c r="A220" i="34"/>
  <c r="J219" i="34"/>
  <c r="A219" i="34"/>
  <c r="J218" i="34"/>
  <c r="A218" i="34"/>
  <c r="J217" i="34"/>
  <c r="A217" i="34"/>
  <c r="J216" i="34"/>
  <c r="A216" i="34"/>
  <c r="J215" i="34"/>
  <c r="A215" i="34"/>
  <c r="J214" i="34"/>
  <c r="A214" i="34"/>
  <c r="J213" i="34"/>
  <c r="A213" i="34"/>
  <c r="J212" i="34"/>
  <c r="A212" i="34"/>
  <c r="J211" i="34"/>
  <c r="A211" i="34"/>
  <c r="J210" i="34"/>
  <c r="A210" i="34"/>
  <c r="J209" i="34"/>
  <c r="A209" i="34"/>
  <c r="J208" i="34"/>
  <c r="F208" i="34"/>
  <c r="A208" i="34"/>
  <c r="J207" i="34"/>
  <c r="A207" i="34"/>
  <c r="J206" i="34"/>
  <c r="A206" i="34"/>
  <c r="J205" i="34"/>
  <c r="A205" i="34"/>
  <c r="J204" i="34"/>
  <c r="A204" i="34"/>
  <c r="J203" i="34"/>
  <c r="A203" i="34"/>
  <c r="J202" i="34"/>
  <c r="A202" i="34"/>
  <c r="J201" i="34"/>
  <c r="A201" i="34"/>
  <c r="J200" i="34"/>
  <c r="A200" i="34"/>
  <c r="J199" i="34"/>
  <c r="A199" i="34"/>
  <c r="J198" i="34"/>
  <c r="A198" i="34"/>
  <c r="J197" i="34"/>
  <c r="A197" i="34"/>
  <c r="J196" i="34"/>
  <c r="A196" i="34"/>
  <c r="J195" i="34"/>
  <c r="A195" i="34"/>
  <c r="J194" i="34"/>
  <c r="A194" i="34"/>
  <c r="J193" i="34"/>
  <c r="A193" i="34"/>
  <c r="J192" i="34"/>
  <c r="A192" i="34"/>
  <c r="J191" i="34"/>
  <c r="A191" i="34"/>
  <c r="J190" i="34"/>
  <c r="A190" i="34"/>
  <c r="J189" i="34"/>
  <c r="A189" i="34"/>
  <c r="J188" i="34"/>
  <c r="A188" i="34"/>
  <c r="J187" i="34"/>
  <c r="A187" i="34"/>
  <c r="J186" i="34"/>
  <c r="A186" i="34"/>
  <c r="J185" i="34"/>
  <c r="A185" i="34"/>
  <c r="J184" i="34"/>
  <c r="A184" i="34"/>
  <c r="J183" i="34"/>
  <c r="A183" i="34"/>
  <c r="J182" i="34"/>
  <c r="A182" i="34"/>
  <c r="J181" i="34"/>
  <c r="A181" i="34"/>
  <c r="J180" i="34"/>
  <c r="F180" i="34"/>
  <c r="A180" i="34"/>
  <c r="J179" i="34"/>
  <c r="F179" i="34"/>
  <c r="A179" i="34"/>
  <c r="J178" i="34"/>
  <c r="A178" i="34"/>
  <c r="J177" i="34"/>
  <c r="A177" i="34"/>
  <c r="J176" i="34"/>
  <c r="A176" i="34"/>
  <c r="J175" i="34"/>
  <c r="A175" i="34"/>
  <c r="J174" i="34"/>
  <c r="A174" i="34"/>
  <c r="J173" i="34"/>
  <c r="A173" i="34"/>
  <c r="J172" i="34"/>
  <c r="A172" i="34"/>
  <c r="J171" i="34"/>
  <c r="A171" i="34"/>
  <c r="J170" i="34"/>
  <c r="F170" i="34"/>
  <c r="A170" i="34"/>
  <c r="J169" i="34"/>
  <c r="F169" i="34"/>
  <c r="A169" i="34"/>
  <c r="J168" i="34"/>
  <c r="A168" i="34"/>
  <c r="J167" i="34"/>
  <c r="A167" i="34"/>
  <c r="J166" i="34"/>
  <c r="A166" i="34"/>
  <c r="J165" i="34"/>
  <c r="A165" i="34"/>
  <c r="J164" i="34"/>
  <c r="F164" i="34"/>
  <c r="A164" i="34"/>
  <c r="J163" i="34"/>
  <c r="A163" i="34"/>
  <c r="J162" i="34"/>
  <c r="F162" i="34"/>
  <c r="A162" i="34"/>
  <c r="J161" i="34"/>
  <c r="A161" i="34"/>
  <c r="J160" i="34"/>
  <c r="A160" i="34"/>
  <c r="J159" i="34"/>
  <c r="A159" i="34"/>
  <c r="J158" i="34"/>
  <c r="A158" i="34"/>
  <c r="J157" i="34"/>
  <c r="A157" i="34"/>
  <c r="J156" i="34"/>
  <c r="A156" i="34"/>
  <c r="J155" i="34"/>
  <c r="F155" i="34"/>
  <c r="A155" i="34"/>
  <c r="J154" i="34"/>
  <c r="F154" i="34"/>
  <c r="A154" i="34"/>
  <c r="J153" i="34"/>
  <c r="A153" i="34"/>
  <c r="J152" i="34"/>
  <c r="F152" i="34"/>
  <c r="A152" i="34"/>
  <c r="J151" i="34"/>
  <c r="F151" i="34"/>
  <c r="A151" i="34"/>
  <c r="J150" i="34"/>
  <c r="A150" i="34"/>
  <c r="J149" i="34"/>
  <c r="A149" i="34"/>
  <c r="J148" i="34"/>
  <c r="A148" i="34"/>
  <c r="J147" i="34"/>
  <c r="A147" i="34"/>
  <c r="J146" i="34"/>
  <c r="A146" i="34"/>
  <c r="J145" i="34"/>
  <c r="F145" i="34"/>
  <c r="A145" i="34"/>
  <c r="J144" i="34"/>
  <c r="A144" i="34"/>
  <c r="J143" i="34"/>
  <c r="F143" i="34"/>
  <c r="A143" i="34"/>
  <c r="J142" i="34"/>
  <c r="A142" i="34"/>
  <c r="F142" i="34" s="1"/>
  <c r="J141" i="34"/>
  <c r="A141" i="34"/>
  <c r="J140" i="34"/>
  <c r="A140" i="34"/>
  <c r="J139" i="34"/>
  <c r="A139" i="34"/>
  <c r="J138" i="34"/>
  <c r="F138" i="34"/>
  <c r="A138" i="34"/>
  <c r="J137" i="34"/>
  <c r="A137" i="34"/>
  <c r="J136" i="34"/>
  <c r="F136" i="34"/>
  <c r="A136" i="34"/>
  <c r="J135" i="34"/>
  <c r="A135" i="34"/>
  <c r="F135" i="34" s="1"/>
  <c r="J134" i="34"/>
  <c r="A134" i="34"/>
  <c r="J133" i="34"/>
  <c r="A133" i="34"/>
  <c r="J132" i="34"/>
  <c r="A132" i="34"/>
  <c r="J131" i="34"/>
  <c r="F131" i="34"/>
  <c r="A131" i="34"/>
  <c r="J130" i="34"/>
  <c r="A130" i="34"/>
  <c r="J129" i="34"/>
  <c r="F129" i="34"/>
  <c r="F185" i="34" s="1"/>
  <c r="A129" i="34"/>
  <c r="J128" i="34"/>
  <c r="F128" i="34"/>
  <c r="A128" i="34"/>
  <c r="J127" i="34"/>
  <c r="A127" i="34"/>
  <c r="J126" i="34"/>
  <c r="A126" i="34"/>
  <c r="J125" i="34"/>
  <c r="A125" i="34"/>
  <c r="J124" i="34"/>
  <c r="A124" i="34"/>
  <c r="J123" i="34"/>
  <c r="A123" i="34"/>
  <c r="J122" i="34"/>
  <c r="A122" i="34"/>
  <c r="J121" i="34"/>
  <c r="A121" i="34"/>
  <c r="J120" i="34"/>
  <c r="F120" i="34"/>
  <c r="A120" i="34"/>
  <c r="J119" i="34"/>
  <c r="A119" i="34"/>
  <c r="J118" i="34"/>
  <c r="A118" i="34"/>
  <c r="J117" i="34"/>
  <c r="F117" i="34"/>
  <c r="A117" i="34"/>
  <c r="J116" i="34"/>
  <c r="A116" i="34"/>
  <c r="J115" i="34"/>
  <c r="F115" i="34"/>
  <c r="A115" i="34"/>
  <c r="J114" i="34"/>
  <c r="A114" i="34"/>
  <c r="J113" i="34"/>
  <c r="A113" i="34"/>
  <c r="J112" i="34"/>
  <c r="A112" i="34"/>
  <c r="J111" i="34"/>
  <c r="A111" i="34"/>
  <c r="J110" i="34"/>
  <c r="A110" i="34"/>
  <c r="J109" i="34"/>
  <c r="A109" i="34"/>
  <c r="J108" i="34"/>
  <c r="A108" i="34"/>
  <c r="J107" i="34"/>
  <c r="A107" i="34"/>
  <c r="J106" i="34"/>
  <c r="A106" i="34"/>
  <c r="J105" i="34"/>
  <c r="A105" i="34"/>
  <c r="J104" i="34"/>
  <c r="A104" i="34"/>
  <c r="J103" i="34"/>
  <c r="F103" i="34"/>
  <c r="A103" i="34"/>
  <c r="J102" i="34"/>
  <c r="A102" i="34"/>
  <c r="J101" i="34"/>
  <c r="F101" i="34"/>
  <c r="A101" i="34"/>
  <c r="J100" i="34"/>
  <c r="A100" i="34"/>
  <c r="J99" i="34"/>
  <c r="A99" i="34"/>
  <c r="J98" i="34"/>
  <c r="F98" i="34"/>
  <c r="A98" i="34"/>
  <c r="J97" i="34"/>
  <c r="A97" i="34"/>
  <c r="F97" i="34" s="1"/>
  <c r="J96" i="34"/>
  <c r="A96" i="34"/>
  <c r="J95" i="34"/>
  <c r="A95" i="34"/>
  <c r="J94" i="34"/>
  <c r="A94" i="34"/>
  <c r="J93" i="34"/>
  <c r="A93" i="34"/>
  <c r="J92" i="34"/>
  <c r="A92" i="34"/>
  <c r="J91" i="34"/>
  <c r="A91" i="34"/>
  <c r="F91" i="34" s="1"/>
  <c r="J90" i="34"/>
  <c r="F90" i="34"/>
  <c r="A90" i="34"/>
  <c r="J89" i="34"/>
  <c r="F89" i="34"/>
  <c r="A89" i="34"/>
  <c r="J88" i="34"/>
  <c r="A88" i="34"/>
  <c r="J87" i="34"/>
  <c r="A87" i="34"/>
  <c r="J86" i="34"/>
  <c r="F86" i="34"/>
  <c r="A86" i="34"/>
  <c r="J85" i="34"/>
  <c r="F85" i="34"/>
  <c r="A85" i="34"/>
  <c r="J84" i="34"/>
  <c r="A84" i="34"/>
  <c r="F84" i="34" s="1"/>
  <c r="J83" i="34"/>
  <c r="A83" i="34"/>
  <c r="J82" i="34"/>
  <c r="A82" i="34"/>
  <c r="J81" i="34"/>
  <c r="A81" i="34"/>
  <c r="J80" i="34"/>
  <c r="F80" i="34"/>
  <c r="A80" i="34"/>
  <c r="J79" i="34"/>
  <c r="A79" i="34"/>
  <c r="J78" i="34"/>
  <c r="A78" i="34"/>
  <c r="J77" i="34"/>
  <c r="F77" i="34"/>
  <c r="A77" i="34"/>
  <c r="J76" i="34"/>
  <c r="F76" i="34"/>
  <c r="A76" i="34"/>
  <c r="J75" i="34"/>
  <c r="A75" i="34"/>
  <c r="F75" i="34" s="1"/>
  <c r="J74" i="34"/>
  <c r="A74" i="34"/>
  <c r="J73" i="34"/>
  <c r="A73" i="34"/>
  <c r="J72" i="34"/>
  <c r="A72" i="34"/>
  <c r="J71" i="34"/>
  <c r="F71" i="34"/>
  <c r="A71" i="34"/>
  <c r="J70" i="34"/>
  <c r="A70" i="34"/>
  <c r="J69" i="34"/>
  <c r="A69" i="34"/>
  <c r="J68" i="34"/>
  <c r="F68" i="34"/>
  <c r="A68" i="34"/>
  <c r="J67" i="34"/>
  <c r="F67" i="34"/>
  <c r="A67" i="34"/>
  <c r="J66" i="34"/>
  <c r="A66" i="34"/>
  <c r="F66" i="34" s="1"/>
  <c r="J65" i="34"/>
  <c r="A65" i="34"/>
  <c r="J64" i="34"/>
  <c r="A64" i="34"/>
  <c r="J63" i="34"/>
  <c r="A63" i="34"/>
  <c r="J62" i="34"/>
  <c r="A62" i="34"/>
  <c r="J61" i="34"/>
  <c r="A61" i="34"/>
  <c r="J60" i="34"/>
  <c r="A60" i="34"/>
  <c r="J59" i="34"/>
  <c r="A59" i="34"/>
  <c r="J58" i="34"/>
  <c r="F58" i="34"/>
  <c r="A58" i="34"/>
  <c r="J57" i="34"/>
  <c r="A57" i="34"/>
  <c r="J56" i="34"/>
  <c r="A56" i="34"/>
  <c r="J55" i="34"/>
  <c r="A55" i="34"/>
  <c r="J54" i="34"/>
  <c r="A54" i="34"/>
  <c r="J53" i="34"/>
  <c r="F53" i="34"/>
  <c r="F55" i="34" s="1"/>
  <c r="A53" i="34"/>
  <c r="J52" i="34"/>
  <c r="A52" i="34"/>
  <c r="J51" i="34"/>
  <c r="A51" i="34"/>
  <c r="J50" i="34"/>
  <c r="A50" i="34"/>
  <c r="J49" i="34"/>
  <c r="A49" i="34"/>
  <c r="J48" i="34"/>
  <c r="A48" i="34"/>
  <c r="J47" i="34"/>
  <c r="A47" i="34"/>
  <c r="J46" i="34"/>
  <c r="A46" i="34"/>
  <c r="J45" i="34"/>
  <c r="A45" i="34"/>
  <c r="J44" i="34"/>
  <c r="A44" i="34"/>
  <c r="J43" i="34"/>
  <c r="A43" i="34"/>
  <c r="J42" i="34"/>
  <c r="A42" i="34"/>
  <c r="J41" i="34"/>
  <c r="A41" i="34"/>
  <c r="J40" i="34"/>
  <c r="A40" i="34"/>
  <c r="J39" i="34"/>
  <c r="A39" i="34"/>
  <c r="J38" i="34"/>
  <c r="F38" i="34"/>
  <c r="A38" i="34"/>
  <c r="J37" i="34"/>
  <c r="A37" i="34"/>
  <c r="J36" i="34"/>
  <c r="F36" i="34"/>
  <c r="A36" i="34"/>
  <c r="J35" i="34"/>
  <c r="A35" i="34"/>
  <c r="J34" i="34"/>
  <c r="A34" i="34"/>
  <c r="J33" i="34"/>
  <c r="F33" i="34"/>
  <c r="A33" i="34"/>
  <c r="J32" i="34"/>
  <c r="A32" i="34"/>
  <c r="F32" i="34" s="1"/>
  <c r="J31" i="34"/>
  <c r="A31" i="34"/>
  <c r="J30" i="34"/>
  <c r="A30" i="34"/>
  <c r="J29" i="34"/>
  <c r="A29" i="34"/>
  <c r="J28" i="34"/>
  <c r="A28" i="34"/>
  <c r="J27" i="34"/>
  <c r="A27" i="34"/>
  <c r="J26" i="34"/>
  <c r="F26" i="34"/>
  <c r="A26" i="34"/>
  <c r="J25" i="34"/>
  <c r="F25" i="34"/>
  <c r="A25" i="34"/>
  <c r="J24" i="34"/>
  <c r="F24" i="34"/>
  <c r="A24" i="34"/>
  <c r="J23" i="34"/>
  <c r="A23" i="34"/>
  <c r="J22" i="34"/>
  <c r="A22" i="34"/>
  <c r="F22" i="34" s="1"/>
  <c r="J21" i="34"/>
  <c r="F21" i="34"/>
  <c r="A21" i="34"/>
  <c r="J20" i="34"/>
  <c r="A20" i="34"/>
  <c r="F20" i="34" s="1"/>
  <c r="J19" i="34"/>
  <c r="A19" i="34"/>
  <c r="J18" i="34"/>
  <c r="A18" i="34"/>
  <c r="J17" i="34"/>
  <c r="A17" i="34"/>
  <c r="J16" i="34"/>
  <c r="F16" i="34"/>
  <c r="A16" i="34"/>
  <c r="J15" i="34"/>
  <c r="A15" i="34"/>
  <c r="J14" i="34"/>
  <c r="A14" i="34"/>
  <c r="J13" i="34"/>
  <c r="A13" i="34"/>
  <c r="F13" i="34" s="1"/>
  <c r="J12" i="34"/>
  <c r="F12" i="34"/>
  <c r="A12" i="34"/>
  <c r="J11" i="34"/>
  <c r="A11" i="34"/>
  <c r="F11" i="34" s="1"/>
  <c r="J10" i="34"/>
  <c r="A10" i="34"/>
  <c r="J9" i="34"/>
  <c r="A9" i="34"/>
  <c r="J8" i="34"/>
  <c r="A8" i="34"/>
  <c r="J7" i="34"/>
  <c r="F7" i="34"/>
  <c r="A7" i="34"/>
  <c r="J6" i="34"/>
  <c r="A6" i="34"/>
  <c r="J5" i="34"/>
  <c r="A5" i="34"/>
  <c r="J4" i="34"/>
  <c r="F4" i="34"/>
  <c r="A4" i="34"/>
  <c r="J3" i="34"/>
  <c r="F3" i="34"/>
  <c r="A3" i="34"/>
  <c r="J2" i="34"/>
  <c r="F2" i="34"/>
  <c r="A2" i="34"/>
  <c r="G25" i="33"/>
  <c r="G26" i="33" s="1"/>
  <c r="D6" i="33" s="1"/>
  <c r="A25" i="33"/>
  <c r="P21" i="33"/>
  <c r="P20" i="33"/>
  <c r="P19" i="33"/>
  <c r="P17" i="33"/>
  <c r="K17" i="33"/>
  <c r="P16" i="33"/>
  <c r="O16" i="33"/>
  <c r="K16" i="33"/>
  <c r="G16" i="33"/>
  <c r="P15" i="33"/>
  <c r="O15" i="33"/>
  <c r="K15" i="33"/>
  <c r="G15" i="33"/>
  <c r="K14" i="33"/>
  <c r="O10" i="33"/>
  <c r="K10" i="33"/>
  <c r="O9" i="33"/>
  <c r="K9" i="33"/>
  <c r="O8" i="33"/>
  <c r="K8" i="33"/>
  <c r="K7" i="33"/>
  <c r="O6" i="33"/>
  <c r="K6" i="33"/>
  <c r="O5" i="33"/>
  <c r="O4" i="33"/>
  <c r="O3" i="33"/>
  <c r="K3" i="33"/>
  <c r="G3" i="33"/>
  <c r="F99" i="34" l="1"/>
  <c r="J25" i="33"/>
  <c r="I25" i="33"/>
  <c r="L25" i="33"/>
  <c r="F14" i="34"/>
  <c r="F19" i="34" s="1"/>
  <c r="F60" i="34" s="1"/>
  <c r="F34" i="34"/>
  <c r="F64" i="34" s="1"/>
  <c r="F167" i="34"/>
  <c r="F182" i="34" s="1"/>
  <c r="F144" i="34"/>
  <c r="F150" i="34" s="1"/>
  <c r="F190" i="34" s="1"/>
  <c r="F335" i="34"/>
  <c r="F358" i="34" s="1"/>
  <c r="F376" i="34" s="1"/>
  <c r="F153" i="34"/>
  <c r="F160" i="34" s="1"/>
  <c r="F683" i="34"/>
  <c r="F471" i="34"/>
  <c r="F494" i="34" s="1"/>
  <c r="F512" i="34" s="1"/>
  <c r="F257" i="34"/>
  <c r="F260" i="34" s="1"/>
  <c r="F857" i="34"/>
  <c r="F827" i="34" s="1"/>
  <c r="F831" i="34" s="1"/>
  <c r="F890" i="34"/>
  <c r="F508" i="34"/>
  <c r="F490" i="34" s="1"/>
  <c r="F372" i="34"/>
  <c r="F907" i="34"/>
  <c r="F669" i="34"/>
  <c r="F692" i="34" s="1"/>
  <c r="F709" i="34" s="1"/>
  <c r="F670" i="34"/>
  <c r="F693" i="34" s="1"/>
  <c r="F710" i="34" s="1"/>
  <c r="F904" i="34"/>
  <c r="F5" i="34"/>
  <c r="F9" i="34" s="1"/>
  <c r="F56" i="34" s="1"/>
  <c r="F137" i="34"/>
  <c r="F141" i="34" s="1"/>
  <c r="F187" i="34" s="1"/>
  <c r="F573" i="34"/>
  <c r="F579" i="34" s="1"/>
  <c r="F130" i="34"/>
  <c r="F133" i="34" s="1"/>
  <c r="F186" i="34" s="1"/>
  <c r="F347" i="34"/>
  <c r="F386" i="34" s="1"/>
  <c r="F616" i="34"/>
  <c r="F654" i="34" s="1"/>
  <c r="F23" i="34"/>
  <c r="F31" i="34" s="1"/>
  <c r="F63" i="34" s="1"/>
  <c r="F803" i="34"/>
  <c r="F873" i="34" s="1"/>
  <c r="F69" i="34"/>
  <c r="F73" i="34" s="1"/>
  <c r="F118" i="34" s="1"/>
  <c r="F484" i="34"/>
  <c r="F538" i="34"/>
  <c r="F561" i="34" s="1"/>
  <c r="F578" i="34" s="1"/>
  <c r="F402" i="34"/>
  <c r="F455" i="34" s="1"/>
  <c r="F348" i="34"/>
  <c r="F374" i="34" s="1"/>
  <c r="F371" i="34"/>
  <c r="F550" i="34"/>
  <c r="F588" i="34" s="1"/>
  <c r="F887" i="34"/>
  <c r="F87" i="34"/>
  <c r="F96" i="34" s="1"/>
  <c r="F125" i="34" s="1"/>
  <c r="F507" i="34"/>
  <c r="F489" i="34" s="1"/>
  <c r="F617" i="34"/>
  <c r="F748" i="34"/>
  <c r="F786" i="34" s="1"/>
  <c r="F604" i="34"/>
  <c r="F627" i="34" s="1"/>
  <c r="F644" i="34" s="1"/>
  <c r="F78" i="34"/>
  <c r="F83" i="34" s="1"/>
  <c r="F122" i="34" s="1"/>
  <c r="F439" i="34"/>
  <c r="F445" i="34" s="1"/>
  <c r="F736" i="34"/>
  <c r="F759" i="34" s="1"/>
  <c r="F776" i="34" s="1"/>
  <c r="F403" i="34"/>
  <c r="F426" i="34" s="1"/>
  <c r="F444" i="34" s="1"/>
  <c r="F483" i="34"/>
  <c r="F522" i="34" s="1"/>
  <c r="F574" i="34"/>
  <c r="F580" i="34" s="1"/>
  <c r="F825" i="34"/>
  <c r="F872" i="34" s="1"/>
  <c r="F123" i="34"/>
  <c r="F108" i="34"/>
  <c r="F126" i="34"/>
  <c r="F640" i="34"/>
  <c r="F416" i="34"/>
  <c r="F229" i="34"/>
  <c r="F232" i="34"/>
  <c r="H25" i="33" s="1"/>
  <c r="F288" i="34"/>
  <c r="F772" i="34"/>
  <c r="F771" i="34"/>
  <c r="F706" i="34"/>
  <c r="F258" i="34"/>
  <c r="F537" i="34"/>
  <c r="F735" i="34"/>
  <c r="F858" i="34"/>
  <c r="F826" i="34"/>
  <c r="F440" i="34"/>
  <c r="F551" i="34"/>
  <c r="F749" i="34"/>
  <c r="F804" i="34"/>
  <c r="F639" i="34"/>
  <c r="F603" i="34"/>
  <c r="F264" i="34"/>
  <c r="F353" i="34"/>
  <c r="F334" i="34"/>
  <c r="F470" i="34"/>
  <c r="F682" i="34"/>
  <c r="F720" i="34" s="1"/>
  <c r="F415" i="34"/>
  <c r="F454" i="34" s="1"/>
  <c r="F705" i="34"/>
  <c r="F210" i="34"/>
  <c r="F236" i="34" s="1"/>
  <c r="M25" i="33" s="1"/>
  <c r="F206" i="34"/>
  <c r="F43" i="34" l="1"/>
  <c r="F61" i="34"/>
  <c r="F44" i="34"/>
  <c r="F425" i="34"/>
  <c r="F443" i="34" s="1"/>
  <c r="F59" i="34"/>
  <c r="F191" i="34"/>
  <c r="F159" i="34"/>
  <c r="F181" i="34" s="1"/>
  <c r="F188" i="34"/>
  <c r="F514" i="34"/>
  <c r="F183" i="34"/>
  <c r="F263" i="34"/>
  <c r="F863" i="34"/>
  <c r="F721" i="34"/>
  <c r="F835" i="34"/>
  <c r="F861" i="34" s="1"/>
  <c r="F212" i="34"/>
  <c r="F227" i="34" s="1"/>
  <c r="F859" i="34"/>
  <c r="F552" i="34"/>
  <c r="F556" i="34" s="1"/>
  <c r="F575" i="34" s="1"/>
  <c r="F121" i="34"/>
  <c r="F510" i="34"/>
  <c r="F421" i="34"/>
  <c r="F441" i="34" s="1"/>
  <c r="F45" i="34"/>
  <c r="F513" i="34"/>
  <c r="F54" i="34"/>
  <c r="F109" i="34"/>
  <c r="F553" i="34"/>
  <c r="F557" i="34" s="1"/>
  <c r="F576" i="34" s="1"/>
  <c r="F589" i="34"/>
  <c r="F560" i="34"/>
  <c r="F577" i="34" s="1"/>
  <c r="F268" i="34"/>
  <c r="F267" i="34"/>
  <c r="F787" i="34"/>
  <c r="F758" i="34"/>
  <c r="F775" i="34" s="1"/>
  <c r="F655" i="34"/>
  <c r="F626" i="34"/>
  <c r="F643" i="34" s="1"/>
  <c r="F645" i="34"/>
  <c r="F618" i="34"/>
  <c r="F622" i="34" s="1"/>
  <c r="F641" i="34" s="1"/>
  <c r="F712" i="34"/>
  <c r="F685" i="34"/>
  <c r="F689" i="34" s="1"/>
  <c r="F708" i="34" s="1"/>
  <c r="F646" i="34"/>
  <c r="F619" i="34"/>
  <c r="F623" i="34" s="1"/>
  <c r="F642" i="34" s="1"/>
  <c r="F864" i="34"/>
  <c r="F828" i="34"/>
  <c r="F832" i="34" s="1"/>
  <c r="F860" i="34" s="1"/>
  <c r="F836" i="34"/>
  <c r="F862" i="34" s="1"/>
  <c r="F711" i="34"/>
  <c r="F684" i="34"/>
  <c r="F688" i="34" s="1"/>
  <c r="F707" i="34" s="1"/>
  <c r="F446" i="34"/>
  <c r="F422" i="34"/>
  <c r="F442" i="34" s="1"/>
  <c r="F116" i="34"/>
  <c r="F237" i="34"/>
  <c r="N25" i="33" s="1"/>
  <c r="F777" i="34"/>
  <c r="F750" i="34"/>
  <c r="F754" i="34" s="1"/>
  <c r="F773" i="34" s="1"/>
  <c r="F493" i="34"/>
  <c r="F511" i="34" s="1"/>
  <c r="F523" i="34"/>
  <c r="F509" i="34"/>
  <c r="F778" i="34"/>
  <c r="F751" i="34"/>
  <c r="F755" i="34" s="1"/>
  <c r="F774" i="34" s="1"/>
  <c r="F373" i="34"/>
  <c r="F387" i="34"/>
  <c r="F357" i="34"/>
  <c r="F375" i="34" s="1"/>
  <c r="F298" i="34"/>
  <c r="F316" i="34" s="1"/>
  <c r="F293" i="34"/>
  <c r="F303" i="34"/>
  <c r="F315" i="34" s="1"/>
  <c r="K25" i="33"/>
  <c r="F161" i="34" l="1"/>
  <c r="F215" i="34"/>
  <c r="F228" i="34" s="1"/>
  <c r="F309" i="34"/>
  <c r="F317" i="34"/>
  <c r="P25" i="33" l="1"/>
  <c r="Z25" i="33" l="1"/>
  <c r="AC25" i="33"/>
  <c r="Q25" i="33" l="1"/>
  <c r="R25" i="33"/>
  <c r="AD25" i="33" l="1"/>
  <c r="AE25" i="33" s="1"/>
  <c r="AE26" i="33" s="1"/>
  <c r="D8" i="33" s="1"/>
  <c r="T25" i="33"/>
  <c r="T26" i="33" s="1"/>
  <c r="D4" i="33" s="1"/>
  <c r="O25" i="33"/>
  <c r="S25" i="33" s="1"/>
  <c r="AA25" i="33" s="1"/>
  <c r="AB25" i="33" s="1"/>
  <c r="AB26" i="33" s="1"/>
  <c r="D5" i="33" s="1"/>
  <c r="D7" i="33" s="1"/>
  <c r="W25" i="33" l="1"/>
  <c r="V25" i="33"/>
  <c r="U25" i="33"/>
  <c r="K14" i="32" s="1"/>
  <c r="U21" i="33" l="1"/>
  <c r="X25" i="33"/>
  <c r="K15" i="32" s="1"/>
  <c r="Y25" i="33"/>
  <c r="K16" i="32" l="1"/>
  <c r="AB16" i="32" s="1"/>
  <c r="Y26" i="33"/>
  <c r="D3" i="33" s="1"/>
  <c r="AH13" i="15" l="1"/>
  <c r="N39" i="14"/>
  <c r="AD19" i="22"/>
  <c r="AJ19" i="22" s="1"/>
  <c r="N17" i="22"/>
  <c r="AD17" i="22" s="1"/>
  <c r="AJ17" i="22" l="1"/>
  <c r="F19" i="20"/>
  <c r="G19" i="20" s="1"/>
  <c r="F20" i="20"/>
  <c r="G20" i="20" s="1"/>
  <c r="C19" i="20"/>
  <c r="BN9" i="15"/>
  <c r="BN8" i="15"/>
  <c r="AZ9" i="15"/>
  <c r="AZ8" i="15"/>
  <c r="CK10" i="15"/>
  <c r="CC10" i="15"/>
  <c r="BV10" i="15"/>
  <c r="DI9" i="15"/>
  <c r="DC9" i="15"/>
  <c r="CT9" i="15"/>
  <c r="CK9" i="15"/>
  <c r="CC9" i="15"/>
  <c r="BV9" i="15"/>
  <c r="DI8" i="15"/>
  <c r="DC8" i="15"/>
  <c r="CT8" i="15"/>
  <c r="CK8" i="15"/>
  <c r="CC8" i="15"/>
  <c r="BV8" i="15"/>
  <c r="AW9" i="15"/>
  <c r="AW8" i="15"/>
  <c r="DI7" i="15"/>
  <c r="DC7" i="15"/>
  <c r="DI6" i="15"/>
  <c r="DC6" i="15"/>
  <c r="CT7" i="15"/>
  <c r="CT6" i="15"/>
  <c r="CK7" i="15"/>
  <c r="CK6" i="15"/>
  <c r="CC7" i="15"/>
  <c r="CC6" i="15"/>
  <c r="BV7" i="15"/>
  <c r="BV6" i="15"/>
  <c r="AZ7" i="15"/>
  <c r="AZ6" i="15"/>
  <c r="AW7" i="15"/>
  <c r="AW6" i="15"/>
  <c r="AW5" i="15"/>
  <c r="T15" i="14"/>
  <c r="H82" i="14"/>
  <c r="F11" i="16"/>
  <c r="E11" i="16"/>
  <c r="D11" i="16"/>
  <c r="N15" i="14" l="1"/>
  <c r="J6" i="20" s="1"/>
  <c r="BB7" i="15"/>
  <c r="BJ7" i="15" s="1"/>
  <c r="BB6" i="15"/>
  <c r="BJ6" i="15" s="1"/>
  <c r="C20" i="20"/>
  <c r="X31" i="14"/>
  <c r="F6" i="20"/>
  <c r="G6" i="20" s="1"/>
  <c r="M6" i="20"/>
  <c r="N6" i="20" s="1"/>
  <c r="BF6" i="15" l="1"/>
  <c r="C6" i="20"/>
  <c r="BF7" i="15"/>
  <c r="E4" i="15"/>
  <c r="AB7" i="15"/>
  <c r="AB6" i="15"/>
  <c r="AJ12" i="27"/>
  <c r="R6" i="27"/>
  <c r="X54" i="27"/>
  <c r="X105" i="27"/>
  <c r="AJ92" i="27" l="1"/>
  <c r="AJ42" i="27"/>
  <c r="X60" i="27" s="1"/>
  <c r="Q12" i="27"/>
  <c r="R52" i="27" s="1"/>
  <c r="F6" i="27"/>
  <c r="K103" i="27"/>
  <c r="Q99" i="27"/>
  <c r="W99" i="27" s="1"/>
  <c r="Q98" i="27"/>
  <c r="W98" i="27" s="1"/>
  <c r="Q96" i="27"/>
  <c r="W96" i="27" s="1"/>
  <c r="Q95" i="27"/>
  <c r="W95" i="27" s="1"/>
  <c r="Q94" i="27"/>
  <c r="W94" i="27" s="1"/>
  <c r="Q93" i="27"/>
  <c r="W93" i="27" s="1"/>
  <c r="Q49" i="27"/>
  <c r="W49" i="27" s="1"/>
  <c r="Q48" i="27"/>
  <c r="W48" i="27" s="1"/>
  <c r="Q46" i="27"/>
  <c r="W46" i="27" s="1"/>
  <c r="Q45" i="27"/>
  <c r="W45" i="27" s="1"/>
  <c r="Q44" i="27"/>
  <c r="W44" i="27" s="1"/>
  <c r="Q43" i="27"/>
  <c r="W43" i="27" s="1"/>
  <c r="R103" i="27" l="1"/>
  <c r="W50" i="27"/>
  <c r="X56" i="27" s="1"/>
  <c r="X111" i="27"/>
  <c r="X58" i="27"/>
  <c r="X62" i="27" s="1"/>
  <c r="W101" i="27"/>
  <c r="X107" i="27" s="1"/>
  <c r="X109" i="27" s="1"/>
  <c r="X113" i="27" s="1"/>
  <c r="F9" i="20" l="1"/>
  <c r="F8" i="20"/>
  <c r="M9" i="20"/>
  <c r="N9" i="20" s="1"/>
  <c r="M8" i="20"/>
  <c r="N8" i="20" s="1"/>
  <c r="L4" i="2"/>
  <c r="L5" i="2" s="1"/>
  <c r="AH51" i="15"/>
  <c r="L99" i="25"/>
  <c r="R110" i="25" s="1"/>
  <c r="R126" i="25" s="1"/>
  <c r="R127" i="25"/>
  <c r="R129" i="25" s="1"/>
  <c r="R131" i="25" s="1"/>
  <c r="O96" i="25"/>
  <c r="F96" i="25"/>
  <c r="C7" i="25"/>
  <c r="C94" i="25" s="1"/>
  <c r="Q6" i="25"/>
  <c r="K6" i="25"/>
  <c r="C6" i="25"/>
  <c r="J94" i="25" s="1"/>
  <c r="E8" i="24"/>
  <c r="V7" i="24"/>
  <c r="O7" i="24"/>
  <c r="E7" i="24"/>
  <c r="O126" i="25"/>
  <c r="L124" i="25"/>
  <c r="P124" i="25" s="1"/>
  <c r="L123" i="25"/>
  <c r="P123" i="25" s="1"/>
  <c r="L121" i="25"/>
  <c r="P121" i="25" s="1"/>
  <c r="L120" i="25"/>
  <c r="P120" i="25" s="1"/>
  <c r="L119" i="25"/>
  <c r="P119" i="25" s="1"/>
  <c r="L118" i="25"/>
  <c r="P118" i="25" s="1"/>
  <c r="L108" i="25"/>
  <c r="P108" i="25" s="1"/>
  <c r="L107" i="25"/>
  <c r="P107" i="25" s="1"/>
  <c r="L105" i="25"/>
  <c r="P105" i="25" s="1"/>
  <c r="L104" i="25"/>
  <c r="P104" i="25" s="1"/>
  <c r="L103" i="25"/>
  <c r="P103" i="25" s="1"/>
  <c r="L102" i="25"/>
  <c r="P102" i="25" s="1"/>
  <c r="A93" i="25"/>
  <c r="A92" i="25"/>
  <c r="O56" i="25"/>
  <c r="I56" i="25"/>
  <c r="O55" i="25"/>
  <c r="I55" i="25"/>
  <c r="O54" i="25"/>
  <c r="I54" i="25"/>
  <c r="O53" i="25"/>
  <c r="I53" i="25"/>
  <c r="C47" i="25"/>
  <c r="A46" i="25"/>
  <c r="A45" i="25"/>
  <c r="R130" i="25" l="1"/>
  <c r="R114" i="25"/>
  <c r="R111" i="25"/>
  <c r="R113" i="25" s="1"/>
  <c r="R115" i="25" s="1"/>
  <c r="P109" i="25"/>
  <c r="R112" i="25" s="1"/>
  <c r="P125" i="25"/>
  <c r="R128" i="25" s="1"/>
  <c r="DE11" i="15" l="1"/>
  <c r="N27" i="14"/>
  <c r="BF13" i="15" s="1"/>
  <c r="AB6" i="22"/>
  <c r="Z6" i="22"/>
  <c r="M6" i="22"/>
  <c r="M38" i="15"/>
  <c r="M37" i="15"/>
  <c r="M36" i="15"/>
  <c r="M35" i="15"/>
  <c r="M34" i="15"/>
  <c r="DC14" i="15"/>
  <c r="AB6" i="14"/>
  <c r="Z6" i="14"/>
  <c r="M6" i="14"/>
  <c r="E52" i="16" l="1"/>
  <c r="E51" i="16"/>
  <c r="E50" i="16"/>
  <c r="AT1" i="15"/>
  <c r="CT5" i="15"/>
  <c r="DI5" i="15"/>
  <c r="DC5" i="15"/>
  <c r="DI4" i="15"/>
  <c r="DC4" i="15"/>
  <c r="CT4" i="15"/>
  <c r="B19" i="17" l="1"/>
  <c r="B5" i="17"/>
  <c r="B6" i="17"/>
  <c r="B20" i="17"/>
  <c r="B4" i="17"/>
  <c r="B18" i="17"/>
  <c r="C43" i="15"/>
  <c r="AH38" i="22" l="1"/>
  <c r="AH37" i="22"/>
  <c r="AH36" i="22"/>
  <c r="AH35" i="22"/>
  <c r="AH33" i="22"/>
  <c r="N26" i="22"/>
  <c r="AD26" i="22" s="1"/>
  <c r="AJ26" i="22" s="1"/>
  <c r="N15" i="22"/>
  <c r="AD15" i="22" s="1"/>
  <c r="AJ15" i="22" s="1"/>
  <c r="N13" i="22"/>
  <c r="AD13" i="22" s="1"/>
  <c r="J50" i="22"/>
  <c r="AD46" i="22"/>
  <c r="AL45" i="22"/>
  <c r="AH45" i="22"/>
  <c r="AL44" i="22"/>
  <c r="AH44" i="22"/>
  <c r="AH43" i="22"/>
  <c r="AL38" i="22"/>
  <c r="AL37" i="22"/>
  <c r="AL36" i="22"/>
  <c r="AL35" i="22"/>
  <c r="AI5" i="22"/>
  <c r="AF5" i="22"/>
  <c r="Y5" i="22"/>
  <c r="P5" i="22"/>
  <c r="X49" i="22" l="1"/>
  <c r="AK49" i="22" s="1"/>
  <c r="AK51" i="22"/>
  <c r="AK50" i="22"/>
  <c r="AD29" i="22"/>
  <c r="AH39" i="22"/>
  <c r="AL43" i="22"/>
  <c r="AL46" i="22" s="1"/>
  <c r="AL33" i="22"/>
  <c r="AL39" i="22" s="1"/>
  <c r="AJ13" i="22"/>
  <c r="AJ29" i="22" s="1"/>
  <c r="AH46" i="22"/>
  <c r="AK52" i="22" l="1"/>
  <c r="AK53" i="22" s="1"/>
  <c r="BE48" i="15"/>
  <c r="BE47" i="15"/>
  <c r="BE46" i="15"/>
  <c r="BE45" i="15"/>
  <c r="BE44" i="15"/>
  <c r="BE35" i="15"/>
  <c r="BE34" i="15"/>
  <c r="BE33" i="15"/>
  <c r="BE32" i="15"/>
  <c r="BA48" i="15" l="1"/>
  <c r="AY48" i="15"/>
  <c r="AW48" i="15"/>
  <c r="AH48" i="15"/>
  <c r="BA47" i="15"/>
  <c r="AY47" i="15"/>
  <c r="AW47" i="15"/>
  <c r="AH47" i="15"/>
  <c r="BA46" i="15"/>
  <c r="AY46" i="15"/>
  <c r="AW46" i="15"/>
  <c r="AH46" i="15"/>
  <c r="BA45" i="15"/>
  <c r="AY45" i="15"/>
  <c r="AW45" i="15"/>
  <c r="AH45" i="15"/>
  <c r="BA44" i="15"/>
  <c r="AY44" i="15"/>
  <c r="AW44" i="15"/>
  <c r="AH44" i="15"/>
  <c r="BA43" i="15"/>
  <c r="AY43" i="15"/>
  <c r="AW43" i="15"/>
  <c r="AH43" i="15"/>
  <c r="BA42" i="15"/>
  <c r="AY42" i="15"/>
  <c r="AW42" i="15"/>
  <c r="AH42" i="15"/>
  <c r="BA41" i="15"/>
  <c r="AY41" i="15"/>
  <c r="AW41" i="15"/>
  <c r="AH41" i="15"/>
  <c r="AY40" i="15"/>
  <c r="BA40" i="15"/>
  <c r="AW40" i="15"/>
  <c r="AH40" i="15"/>
  <c r="BA36" i="15"/>
  <c r="AY36" i="15"/>
  <c r="AW36" i="15"/>
  <c r="AH36" i="15"/>
  <c r="BA35" i="15"/>
  <c r="AY35" i="15"/>
  <c r="AW35" i="15"/>
  <c r="AH35" i="15"/>
  <c r="BA34" i="15"/>
  <c r="AY34" i="15"/>
  <c r="AW34" i="15"/>
  <c r="AH34" i="15"/>
  <c r="BA33" i="15"/>
  <c r="AY33" i="15"/>
  <c r="AW33" i="15"/>
  <c r="AH33" i="15"/>
  <c r="BA32" i="15"/>
  <c r="AY32" i="15"/>
  <c r="AW32" i="15"/>
  <c r="AH32" i="15"/>
  <c r="BA31" i="15"/>
  <c r="AY31" i="15"/>
  <c r="AW31" i="15"/>
  <c r="AH31" i="15"/>
  <c r="BA30" i="15"/>
  <c r="AY30" i="15"/>
  <c r="AW30" i="15"/>
  <c r="AH30" i="15"/>
  <c r="BA29" i="15"/>
  <c r="AY29" i="15"/>
  <c r="AW29" i="15"/>
  <c r="AH29" i="15"/>
  <c r="BA28" i="15"/>
  <c r="AY28" i="15"/>
  <c r="AW28" i="15"/>
  <c r="AH28" i="15"/>
  <c r="CV18" i="15"/>
  <c r="CQ18" i="15"/>
  <c r="CF18" i="15"/>
  <c r="BV18" i="15"/>
  <c r="BA37" i="15" l="1"/>
  <c r="BA49" i="15"/>
  <c r="AR18" i="15"/>
  <c r="AR17" i="15"/>
  <c r="CQ17" i="15"/>
  <c r="CF17" i="15"/>
  <c r="BV17" i="15"/>
  <c r="CF16" i="15"/>
  <c r="BV16" i="15"/>
  <c r="CF15" i="15"/>
  <c r="BV15" i="15"/>
  <c r="CK14" i="15"/>
  <c r="CK13" i="15"/>
  <c r="CC14" i="15"/>
  <c r="BV14" i="15"/>
  <c r="CC13" i="15"/>
  <c r="BV13" i="15"/>
  <c r="CK12" i="15"/>
  <c r="CC12" i="15"/>
  <c r="BV12" i="15"/>
  <c r="CK11" i="15"/>
  <c r="CC11" i="15"/>
  <c r="BV11" i="15"/>
  <c r="CK5" i="15"/>
  <c r="CC5" i="15"/>
  <c r="BV5" i="15"/>
  <c r="A36" i="15"/>
  <c r="A37" i="15"/>
  <c r="A38" i="15"/>
  <c r="A35" i="15"/>
  <c r="A34" i="15"/>
  <c r="M30" i="15"/>
  <c r="DI3" i="15"/>
  <c r="DB3" i="15"/>
  <c r="CV3" i="15"/>
  <c r="CO3" i="15"/>
  <c r="CK3" i="15"/>
  <c r="CK4" i="15"/>
  <c r="CC4" i="15"/>
  <c r="BV4" i="15"/>
  <c r="E23" i="20"/>
  <c r="E22" i="20"/>
  <c r="CC3" i="15" l="1"/>
  <c r="BV3" i="15"/>
  <c r="BN16" i="15"/>
  <c r="BN14" i="15"/>
  <c r="BN13" i="15"/>
  <c r="BN12" i="15"/>
  <c r="BN11" i="15"/>
  <c r="BN10" i="15"/>
  <c r="BN7" i="15"/>
  <c r="BN6" i="15"/>
  <c r="BN5" i="15"/>
  <c r="BN4" i="15"/>
  <c r="AW17" i="15"/>
  <c r="BB17" i="15"/>
  <c r="BN17" i="15"/>
  <c r="BB18" i="15"/>
  <c r="BB16" i="15"/>
  <c r="AH15" i="15"/>
  <c r="BN15" i="15" s="1"/>
  <c r="BB15" i="15"/>
  <c r="BB14" i="15"/>
  <c r="BB13" i="15"/>
  <c r="BB12" i="15"/>
  <c r="BB10" i="15"/>
  <c r="AZ17" i="15"/>
  <c r="AZ18" i="15"/>
  <c r="AZ16" i="15"/>
  <c r="AZ15" i="15"/>
  <c r="AZ14" i="15"/>
  <c r="AZ13" i="15"/>
  <c r="AZ12" i="15"/>
  <c r="AZ11" i="15"/>
  <c r="N23" i="14"/>
  <c r="N21" i="14"/>
  <c r="BJ17" i="15" l="1"/>
  <c r="BF11" i="15"/>
  <c r="J9" i="20"/>
  <c r="C9" i="20"/>
  <c r="BF10" i="15"/>
  <c r="J8" i="20"/>
  <c r="C8" i="20"/>
  <c r="BB11" i="15"/>
  <c r="AW11" i="15"/>
  <c r="AZ10" i="15"/>
  <c r="AW10" i="15"/>
  <c r="BJ10" i="15" s="1"/>
  <c r="AD21" i="14"/>
  <c r="AJ21" i="14" s="1"/>
  <c r="AZ5" i="15"/>
  <c r="AZ4" i="15"/>
  <c r="AZ3" i="15"/>
  <c r="AW18" i="15"/>
  <c r="BJ18" i="15" s="1"/>
  <c r="AW16" i="15"/>
  <c r="BJ16" i="15" s="1"/>
  <c r="AW15" i="15"/>
  <c r="BJ15" i="15" s="1"/>
  <c r="AW14" i="15"/>
  <c r="BJ14" i="15" s="1"/>
  <c r="AW13" i="15"/>
  <c r="BJ13" i="15" s="1"/>
  <c r="AW12" i="15"/>
  <c r="BJ12" i="15" s="1"/>
  <c r="AR16" i="15"/>
  <c r="AR15" i="15"/>
  <c r="M29" i="15"/>
  <c r="M28" i="15"/>
  <c r="M26" i="15"/>
  <c r="M24" i="15"/>
  <c r="M23" i="15"/>
  <c r="M22" i="15"/>
  <c r="W17" i="15"/>
  <c r="W16" i="15"/>
  <c r="W14" i="15"/>
  <c r="W13" i="15"/>
  <c r="F17" i="15"/>
  <c r="F16" i="15"/>
  <c r="F14" i="15"/>
  <c r="F13" i="15"/>
  <c r="F12" i="15"/>
  <c r="N41" i="14"/>
  <c r="BF18" i="15" s="1"/>
  <c r="BJ11" i="15" l="1"/>
  <c r="AD39" i="14"/>
  <c r="BF17" i="15"/>
  <c r="AH71" i="14"/>
  <c r="BE41" i="15" s="1"/>
  <c r="AH72" i="14"/>
  <c r="BE42" i="15" s="1"/>
  <c r="AH73" i="14"/>
  <c r="BE43" i="15" s="1"/>
  <c r="AH74" i="14"/>
  <c r="AH75" i="14"/>
  <c r="AH76" i="14"/>
  <c r="AH77" i="14"/>
  <c r="AH78" i="14"/>
  <c r="AH70" i="14"/>
  <c r="H83" i="14"/>
  <c r="R7" i="15" s="1"/>
  <c r="AL78" i="14"/>
  <c r="AL77" i="14"/>
  <c r="AL76" i="14"/>
  <c r="AL75" i="14"/>
  <c r="AL74" i="14"/>
  <c r="AH65" i="14"/>
  <c r="BE36" i="15" s="1"/>
  <c r="AH57" i="14"/>
  <c r="BE28" i="15" s="1"/>
  <c r="AH64" i="14"/>
  <c r="AL64" i="14" s="1"/>
  <c r="AH63" i="14"/>
  <c r="AL63" i="14" s="1"/>
  <c r="AH62" i="14"/>
  <c r="AL62" i="14" s="1"/>
  <c r="AH61" i="14"/>
  <c r="AL61" i="14" s="1"/>
  <c r="AH60" i="14"/>
  <c r="AH59" i="14"/>
  <c r="BE30" i="15" s="1"/>
  <c r="AH58" i="14"/>
  <c r="BE29" i="15" s="1"/>
  <c r="X53" i="14"/>
  <c r="AD41" i="14"/>
  <c r="T10" i="14"/>
  <c r="N10" i="14" s="1"/>
  <c r="AD10" i="14" l="1"/>
  <c r="AJ10" i="14" s="1"/>
  <c r="AL60" i="14"/>
  <c r="BE31" i="15"/>
  <c r="AL65" i="14"/>
  <c r="AW3" i="15"/>
  <c r="BN3" i="15" s="1"/>
  <c r="BE40" i="15"/>
  <c r="AJ41" i="14"/>
  <c r="AL73" i="14"/>
  <c r="AL72" i="14"/>
  <c r="AL59" i="14"/>
  <c r="AL57" i="14"/>
  <c r="AL70" i="14"/>
  <c r="AL71" i="14"/>
  <c r="AL58" i="14"/>
  <c r="F27" i="20"/>
  <c r="F26" i="20"/>
  <c r="BF3" i="15" l="1"/>
  <c r="BB3" i="15"/>
  <c r="BJ3" i="15" s="1"/>
  <c r="G26" i="20"/>
  <c r="G27" i="20"/>
  <c r="AD66" i="14"/>
  <c r="C32" i="20" s="1"/>
  <c r="AD79" i="14"/>
  <c r="AL79" i="14"/>
  <c r="AL66" i="14"/>
  <c r="T18" i="14"/>
  <c r="T12" i="14"/>
  <c r="BB5" i="15" l="1"/>
  <c r="BJ5" i="15" s="1"/>
  <c r="BB4" i="15"/>
  <c r="BJ4" i="15" s="1"/>
  <c r="BB9" i="15"/>
  <c r="BJ9" i="15" s="1"/>
  <c r="BB8" i="15"/>
  <c r="BJ8" i="15" s="1"/>
  <c r="N18" i="14"/>
  <c r="C34" i="20"/>
  <c r="AH79" i="14"/>
  <c r="C33" i="20" s="1"/>
  <c r="AH66" i="14"/>
  <c r="J7" i="20" l="1"/>
  <c r="C7" i="20"/>
  <c r="BF8" i="15"/>
  <c r="BF9" i="15"/>
  <c r="I28" i="20"/>
  <c r="R6" i="15"/>
  <c r="AK84" i="14"/>
  <c r="H47" i="15" s="1"/>
  <c r="M13" i="20"/>
  <c r="N13" i="20" s="1"/>
  <c r="M12" i="20"/>
  <c r="N12" i="20" s="1"/>
  <c r="M11" i="20"/>
  <c r="N11" i="20" s="1"/>
  <c r="M10" i="20"/>
  <c r="N10" i="20" s="1"/>
  <c r="F13" i="20"/>
  <c r="F12" i="20"/>
  <c r="F11" i="20"/>
  <c r="F10" i="20"/>
  <c r="G10" i="20" l="1"/>
  <c r="G12" i="20"/>
  <c r="G13" i="20"/>
  <c r="G8" i="20"/>
  <c r="G9" i="20"/>
  <c r="G11" i="20"/>
  <c r="J13" i="20"/>
  <c r="C13" i="20"/>
  <c r="F25" i="20"/>
  <c r="F24" i="20"/>
  <c r="F23" i="20"/>
  <c r="G23" i="20" s="1"/>
  <c r="F22" i="20"/>
  <c r="G22" i="20" s="1"/>
  <c r="F21" i="20"/>
  <c r="F18" i="20"/>
  <c r="F17" i="20"/>
  <c r="B25" i="20"/>
  <c r="B24" i="20"/>
  <c r="B23" i="20"/>
  <c r="B22" i="20"/>
  <c r="AK86" i="14"/>
  <c r="F12" i="19"/>
  <c r="D5" i="18"/>
  <c r="AI5" i="14"/>
  <c r="AF5" i="14"/>
  <c r="Y5" i="14"/>
  <c r="P5" i="14"/>
  <c r="K5" i="18"/>
  <c r="M39" i="15"/>
  <c r="G17" i="20" l="1"/>
  <c r="G21" i="20"/>
  <c r="G18" i="20"/>
  <c r="G24" i="20"/>
  <c r="G25" i="20"/>
  <c r="V28" i="14"/>
  <c r="F7" i="15"/>
  <c r="F6" i="15"/>
  <c r="V3" i="15"/>
  <c r="M3" i="15"/>
  <c r="D3" i="15"/>
  <c r="D2" i="15"/>
  <c r="G28" i="20" l="1"/>
  <c r="H28" i="20" s="1"/>
  <c r="N29" i="14"/>
  <c r="BF14" i="15" s="1"/>
  <c r="N25" i="14"/>
  <c r="BF12" i="15" s="1"/>
  <c r="AD23" i="14"/>
  <c r="N37" i="14"/>
  <c r="N35" i="14"/>
  <c r="AD50" i="14"/>
  <c r="BF24" i="15" s="1"/>
  <c r="AD47" i="14"/>
  <c r="BF23" i="15" s="1"/>
  <c r="N45" i="14"/>
  <c r="AD45" i="14" s="1"/>
  <c r="BF21" i="15" s="1"/>
  <c r="AD43" i="14"/>
  <c r="BF19" i="15" s="1"/>
  <c r="C21" i="20"/>
  <c r="C48" i="17"/>
  <c r="C47" i="17"/>
  <c r="C46" i="17"/>
  <c r="C44" i="17"/>
  <c r="C43" i="17"/>
  <c r="C42" i="17"/>
  <c r="C40" i="17"/>
  <c r="C39" i="17"/>
  <c r="C38" i="17"/>
  <c r="C37" i="17"/>
  <c r="C36" i="17"/>
  <c r="C35" i="17"/>
  <c r="C34" i="17"/>
  <c r="C33" i="17"/>
  <c r="C31" i="17"/>
  <c r="C30" i="17"/>
  <c r="C29" i="17"/>
  <c r="C28" i="17"/>
  <c r="C27" i="17"/>
  <c r="C26" i="17"/>
  <c r="C25" i="17"/>
  <c r="C24" i="17"/>
  <c r="C15" i="17"/>
  <c r="C14" i="17"/>
  <c r="C13" i="17"/>
  <c r="C12" i="17"/>
  <c r="C11" i="17"/>
  <c r="C10" i="17"/>
  <c r="AJ50" i="14" l="1"/>
  <c r="AJ47" i="14"/>
  <c r="AJ45" i="14"/>
  <c r="AJ43" i="14"/>
  <c r="AD35" i="14"/>
  <c r="BF15" i="15"/>
  <c r="AD37" i="14"/>
  <c r="AJ37" i="14" s="1"/>
  <c r="BF16" i="15"/>
  <c r="AD25" i="14"/>
  <c r="AJ25" i="14" s="1"/>
  <c r="AD29" i="14"/>
  <c r="AJ29" i="14" s="1"/>
  <c r="AD27" i="14"/>
  <c r="AJ27" i="14" s="1"/>
  <c r="AJ23" i="14"/>
  <c r="C18" i="20"/>
  <c r="C26" i="12"/>
  <c r="B26" i="12"/>
  <c r="F4" i="20"/>
  <c r="M4" i="20"/>
  <c r="J11" i="20"/>
  <c r="C11" i="20"/>
  <c r="J10" i="20"/>
  <c r="C10" i="20"/>
  <c r="C24" i="20"/>
  <c r="J12" i="20"/>
  <c r="C12" i="20"/>
  <c r="C25" i="20"/>
  <c r="C17" i="20"/>
  <c r="C23" i="20"/>
  <c r="C22" i="20"/>
  <c r="N4" i="20" l="1"/>
  <c r="Q5" i="20"/>
  <c r="AJ35" i="14"/>
  <c r="AD53" i="14"/>
  <c r="G4" i="20"/>
  <c r="AJ39" i="14"/>
  <c r="B20" i="12"/>
  <c r="B19" i="12"/>
  <c r="E100" i="16"/>
  <c r="E99" i="16"/>
  <c r="F98" i="16"/>
  <c r="B14" i="12"/>
  <c r="B13" i="12"/>
  <c r="B12" i="12"/>
  <c r="B11" i="12"/>
  <c r="B10" i="12"/>
  <c r="C10" i="12" s="1"/>
  <c r="E16" i="16" s="1"/>
  <c r="B9" i="12"/>
  <c r="B8" i="12"/>
  <c r="B7" i="12"/>
  <c r="B5" i="12"/>
  <c r="B4" i="12"/>
  <c r="D100" i="16"/>
  <c r="D99" i="16"/>
  <c r="D98" i="16"/>
  <c r="D97" i="16"/>
  <c r="D96" i="16"/>
  <c r="D95" i="16"/>
  <c r="B48" i="17"/>
  <c r="D92" i="16"/>
  <c r="B47" i="17"/>
  <c r="D91" i="16"/>
  <c r="B46" i="17"/>
  <c r="D90" i="16"/>
  <c r="B44" i="17"/>
  <c r="D87" i="16"/>
  <c r="B43" i="17"/>
  <c r="D86" i="16"/>
  <c r="B42" i="17"/>
  <c r="D85" i="16"/>
  <c r="D81" i="16"/>
  <c r="B40" i="17"/>
  <c r="D79" i="16"/>
  <c r="B39" i="17"/>
  <c r="D78" i="16"/>
  <c r="B38" i="17"/>
  <c r="D77" i="16"/>
  <c r="B37" i="17"/>
  <c r="D76" i="16"/>
  <c r="B36" i="17"/>
  <c r="D75" i="16"/>
  <c r="B35" i="17"/>
  <c r="D74" i="16"/>
  <c r="B34" i="17"/>
  <c r="D73" i="16"/>
  <c r="B33" i="17"/>
  <c r="D72" i="16"/>
  <c r="B31" i="17"/>
  <c r="D69" i="16"/>
  <c r="B30" i="17"/>
  <c r="D68" i="16"/>
  <c r="B29" i="17"/>
  <c r="D67" i="16"/>
  <c r="B28" i="17"/>
  <c r="D66" i="16"/>
  <c r="B27" i="17"/>
  <c r="D65" i="16"/>
  <c r="B26" i="17"/>
  <c r="D64" i="16"/>
  <c r="B25" i="17"/>
  <c r="D63" i="16"/>
  <c r="B24" i="17"/>
  <c r="D62" i="16"/>
  <c r="B15" i="17"/>
  <c r="D60" i="16"/>
  <c r="B14" i="17"/>
  <c r="D59" i="16"/>
  <c r="B13" i="17"/>
  <c r="D58" i="16"/>
  <c r="B12" i="17"/>
  <c r="D57" i="16"/>
  <c r="B11" i="17"/>
  <c r="D56" i="16"/>
  <c r="B10" i="17"/>
  <c r="D55" i="16"/>
  <c r="D53" i="16"/>
  <c r="D52" i="16"/>
  <c r="D51" i="16"/>
  <c r="D50" i="16"/>
  <c r="D49" i="16"/>
  <c r="D17" i="16"/>
  <c r="D16" i="16"/>
  <c r="D14" i="16"/>
  <c r="D13" i="16"/>
  <c r="D12" i="16"/>
  <c r="D10" i="16"/>
  <c r="D9" i="16"/>
  <c r="D6" i="16"/>
  <c r="AJ53" i="14" l="1"/>
  <c r="M7" i="20" l="1"/>
  <c r="N7" i="20" s="1"/>
  <c r="F7" i="20"/>
  <c r="G7" i="20" s="1"/>
  <c r="M5" i="20"/>
  <c r="N5" i="20" s="1"/>
  <c r="F5" i="20"/>
  <c r="N12" i="14"/>
  <c r="AD12" i="14" s="1"/>
  <c r="AJ12" i="14" s="1"/>
  <c r="BF4" i="15" l="1"/>
  <c r="BF5" i="15"/>
  <c r="S83" i="14"/>
  <c r="G5" i="20"/>
  <c r="C5" i="20"/>
  <c r="J5" i="20"/>
  <c r="C25" i="12"/>
  <c r="C24" i="12"/>
  <c r="G23" i="12"/>
  <c r="C23" i="12"/>
  <c r="G22" i="12"/>
  <c r="C22" i="12"/>
  <c r="G21" i="12"/>
  <c r="C21" i="12"/>
  <c r="C20" i="12"/>
  <c r="E95" i="16" s="1"/>
  <c r="G19" i="12"/>
  <c r="C19" i="12"/>
  <c r="G18" i="12"/>
  <c r="G17" i="12"/>
  <c r="G16" i="12"/>
  <c r="G15" i="12"/>
  <c r="G14" i="12"/>
  <c r="C14" i="12"/>
  <c r="E98" i="16" s="1"/>
  <c r="G13" i="12"/>
  <c r="C13" i="12"/>
  <c r="E97" i="16" s="1"/>
  <c r="G12" i="12"/>
  <c r="C12" i="12"/>
  <c r="E96" i="16" s="1"/>
  <c r="G11" i="12"/>
  <c r="C11" i="12"/>
  <c r="E17" i="16" s="1"/>
  <c r="G10" i="12"/>
  <c r="G9" i="12"/>
  <c r="C9" i="12"/>
  <c r="E14" i="16" s="1"/>
  <c r="G8" i="12"/>
  <c r="C8" i="12"/>
  <c r="E13" i="16" s="1"/>
  <c r="G7" i="12"/>
  <c r="C7" i="12"/>
  <c r="E12" i="16" s="1"/>
  <c r="C5" i="12"/>
  <c r="E10" i="16" s="1"/>
  <c r="C4" i="12"/>
  <c r="E9" i="16" s="1"/>
  <c r="W7" i="15" l="1"/>
  <c r="S82" i="14"/>
  <c r="AD31" i="14"/>
  <c r="N14" i="20"/>
  <c r="G29" i="20" s="1"/>
  <c r="G14" i="20"/>
  <c r="AK83" i="14"/>
  <c r="AJ31" i="14" l="1"/>
  <c r="W6" i="15"/>
  <c r="G14" i="19"/>
  <c r="G31" i="20"/>
  <c r="H29" i="20"/>
  <c r="AK85" i="14"/>
  <c r="C4" i="20"/>
  <c r="J4" i="20"/>
  <c r="C35" i="20" l="1"/>
  <c r="J28" i="20"/>
  <c r="AK82" i="14"/>
  <c r="G18" i="19" s="1"/>
  <c r="AK87" i="14"/>
  <c r="AK89" i="14" s="1"/>
  <c r="AT89" i="14" l="1"/>
  <c r="AK54" i="22"/>
  <c r="D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M11" authorId="0" shapeId="0" xr:uid="{88B21DE9-3238-4BF7-9153-D9B9BAB99D2A}">
      <text>
        <r>
          <rPr>
            <sz val="9"/>
            <color indexed="81"/>
            <rFont val="Tahoma"/>
            <family val="2"/>
          </rPr>
          <t>At reservation enter post-test target blower door number</t>
        </r>
      </text>
    </comment>
    <comment ref="P11" authorId="0" shapeId="0" xr:uid="{FDA83E2D-BFC0-4402-AB4D-778C9EA4D7A2}">
      <text>
        <r>
          <rPr>
            <sz val="9"/>
            <color indexed="81"/>
            <rFont val="Tahoma"/>
            <family val="2"/>
          </rPr>
          <t>Check the materials used for the measure.</t>
        </r>
      </text>
    </comment>
    <comment ref="T11" authorId="0" shapeId="0" xr:uid="{83E5797F-A210-41B2-AB07-890690C94589}">
      <text>
        <r>
          <rPr>
            <sz val="9"/>
            <color indexed="81"/>
            <rFont val="Tahoma"/>
            <family val="2"/>
          </rPr>
          <t>Select</t>
        </r>
      </text>
    </comment>
    <comment ref="W11" authorId="0" shapeId="0" xr:uid="{7103B0CC-51A6-4257-BEE9-A79D9CA7ACD6}">
      <text>
        <r>
          <rPr>
            <sz val="9"/>
            <color indexed="81"/>
            <rFont val="Tahoma"/>
            <family val="2"/>
          </rPr>
          <t>Select</t>
        </r>
      </text>
    </comment>
    <comment ref="AB11" authorId="0" shapeId="0" xr:uid="{CA45D81A-6A32-4142-9C4D-3168B73859F4}">
      <text>
        <r>
          <rPr>
            <sz val="9"/>
            <color indexed="81"/>
            <rFont val="Tahoma"/>
            <family val="2"/>
          </rPr>
          <t>Select</t>
        </r>
      </text>
    </comment>
    <comment ref="AG11" authorId="0" shapeId="0" xr:uid="{9128665A-4BDF-4DAC-B4F9-4F14F2055B58}">
      <text>
        <r>
          <rPr>
            <sz val="9"/>
            <color indexed="81"/>
            <rFont val="Tahoma"/>
            <family val="2"/>
          </rPr>
          <t>Select</t>
        </r>
      </text>
    </comment>
    <comment ref="AM11" authorId="0" shapeId="0" xr:uid="{94A4C5F3-DAD6-4B35-8FD8-AC136E8E25BE}">
      <text>
        <r>
          <rPr>
            <sz val="9"/>
            <color indexed="81"/>
            <rFont val="Tahoma"/>
            <family val="2"/>
          </rPr>
          <t>Select</t>
        </r>
      </text>
    </comment>
    <comment ref="J13" authorId="0" shapeId="0" xr:uid="{831FE76A-E3C5-4BB1-9C36-43F23A6CB0F8}">
      <text>
        <r>
          <rPr>
            <sz val="9"/>
            <color indexed="81"/>
            <rFont val="Tahoma"/>
            <family val="2"/>
          </rPr>
          <t>Select a material from the drop down box.</t>
        </r>
      </text>
    </comment>
    <comment ref="U13" authorId="0" shapeId="0" xr:uid="{3B2F6C46-03B2-44B6-8818-41EC2B209C36}">
      <text>
        <r>
          <rPr>
            <sz val="9"/>
            <color indexed="81"/>
            <rFont val="Tahoma"/>
            <family val="2"/>
          </rPr>
          <t>Select one</t>
        </r>
      </text>
    </comment>
    <comment ref="AK13" authorId="0" shapeId="0" xr:uid="{AF8BC816-0554-45A8-87AD-3AFB0CD71388}">
      <text>
        <r>
          <rPr>
            <sz val="9"/>
            <color indexed="81"/>
            <rFont val="Tahoma"/>
            <family val="2"/>
          </rPr>
          <t>Select the material used from the drop down box.</t>
        </r>
      </text>
    </comment>
    <comment ref="J14" authorId="0" shapeId="0" xr:uid="{9AAAD2BE-57E7-438C-B4A3-CCB9D3AB145C}">
      <text>
        <r>
          <rPr>
            <sz val="9"/>
            <color indexed="81"/>
            <rFont val="Tahoma"/>
            <family val="2"/>
          </rPr>
          <t>Select a material from the drop down box.</t>
        </r>
      </text>
    </comment>
    <comment ref="U14" authorId="0" shapeId="0" xr:uid="{DC51CCBF-72A0-4D2A-857F-43D7D1EA79B6}">
      <text>
        <r>
          <rPr>
            <sz val="9"/>
            <color indexed="81"/>
            <rFont val="Tahoma"/>
            <family val="2"/>
          </rPr>
          <t>Select one</t>
        </r>
      </text>
    </comment>
    <comment ref="AK14" authorId="0" shapeId="0" xr:uid="{61BE2C47-AA3B-4C41-A832-94D25574A61E}">
      <text>
        <r>
          <rPr>
            <sz val="9"/>
            <color indexed="81"/>
            <rFont val="Tahoma"/>
            <family val="2"/>
          </rPr>
          <t>Select the material used from the drop down box.</t>
        </r>
      </text>
    </comment>
    <comment ref="J16" authorId="0" shapeId="0" xr:uid="{500FE14F-A37E-45B8-936F-C572636F7E0B}">
      <text>
        <r>
          <rPr>
            <sz val="9"/>
            <color indexed="81"/>
            <rFont val="Tahoma"/>
            <family val="2"/>
          </rPr>
          <t>Select a material from the drop down box.</t>
        </r>
      </text>
    </comment>
    <comment ref="U16" authorId="0" shapeId="0" xr:uid="{52590807-F887-4366-9E00-7BD27D7B77F5}">
      <text>
        <r>
          <rPr>
            <sz val="9"/>
            <color indexed="81"/>
            <rFont val="Tahoma"/>
            <family val="2"/>
          </rPr>
          <t>Select one</t>
        </r>
      </text>
    </comment>
    <comment ref="AK16" authorId="0" shapeId="0" xr:uid="{331BDB58-1BB9-4C62-B728-68F5D4806552}">
      <text>
        <r>
          <rPr>
            <sz val="9"/>
            <color indexed="81"/>
            <rFont val="Tahoma"/>
            <family val="2"/>
          </rPr>
          <t>Select the material used from the drop down box.</t>
        </r>
      </text>
    </comment>
    <comment ref="J17" authorId="0" shapeId="0" xr:uid="{8E98283C-5306-4490-98F7-DDDCD43525CC}">
      <text>
        <r>
          <rPr>
            <sz val="9"/>
            <color indexed="81"/>
            <rFont val="Tahoma"/>
            <family val="2"/>
          </rPr>
          <t>Select a material from the drop down box.</t>
        </r>
      </text>
    </comment>
    <comment ref="U17" authorId="0" shapeId="0" xr:uid="{93001EBC-118D-41FC-9F75-55B5D586C630}">
      <text>
        <r>
          <rPr>
            <sz val="9"/>
            <color indexed="81"/>
            <rFont val="Tahoma"/>
            <family val="2"/>
          </rPr>
          <t>Select one</t>
        </r>
      </text>
    </comment>
    <comment ref="AK17" authorId="0" shapeId="0" xr:uid="{6F556DD8-C9FB-4546-9829-740B69E41FED}">
      <text>
        <r>
          <rPr>
            <sz val="9"/>
            <color indexed="81"/>
            <rFont val="Tahoma"/>
            <family val="2"/>
          </rPr>
          <t>Select the material used from the drop down box.</t>
        </r>
      </text>
    </comment>
    <comment ref="J19" authorId="0" shapeId="0" xr:uid="{7D2904B7-4428-495E-8194-D8EF4920DC55}">
      <text>
        <r>
          <rPr>
            <sz val="9"/>
            <color indexed="81"/>
            <rFont val="Tahoma"/>
            <family val="2"/>
          </rPr>
          <t>Select a material from the drop down box.</t>
        </r>
      </text>
    </comment>
    <comment ref="U19" authorId="0" shapeId="0" xr:uid="{C00C31F6-40B9-41F0-9A8C-1F5895DB60DD}">
      <text>
        <r>
          <rPr>
            <sz val="9"/>
            <color indexed="81"/>
            <rFont val="Tahoma"/>
            <family val="2"/>
          </rPr>
          <t>Select one</t>
        </r>
      </text>
    </comment>
    <comment ref="AK19" authorId="0" shapeId="0" xr:uid="{D5372BBF-8194-4B95-95EB-6DF09B9EDB14}">
      <text>
        <r>
          <rPr>
            <sz val="9"/>
            <color indexed="81"/>
            <rFont val="Tahoma"/>
            <family val="2"/>
          </rPr>
          <t>Select the material used from the drop down box.</t>
        </r>
      </text>
    </comment>
    <comment ref="J20" authorId="0" shapeId="0" xr:uid="{DEC8821D-E884-4505-BEBD-8475642D769B}">
      <text>
        <r>
          <rPr>
            <sz val="9"/>
            <color indexed="81"/>
            <rFont val="Tahoma"/>
            <family val="2"/>
          </rPr>
          <t>Select a material from the drop down box.</t>
        </r>
      </text>
    </comment>
    <comment ref="U20" authorId="0" shapeId="0" xr:uid="{019F6F0D-3492-4B55-BBAB-C4DF29F8BF0C}">
      <text>
        <r>
          <rPr>
            <sz val="9"/>
            <color indexed="81"/>
            <rFont val="Tahoma"/>
            <family val="2"/>
          </rPr>
          <t>Select one</t>
        </r>
      </text>
    </comment>
    <comment ref="AK20" authorId="0" shapeId="0" xr:uid="{0DD6D11D-83BD-4081-9AF6-43B9915266FF}">
      <text>
        <r>
          <rPr>
            <sz val="9"/>
            <color indexed="81"/>
            <rFont val="Tahoma"/>
            <family val="2"/>
          </rPr>
          <t>Select the material used from the drop down box.</t>
        </r>
      </text>
    </comment>
    <comment ref="AK22" authorId="0" shapeId="0" xr:uid="{23AA1A2A-0734-43FF-9853-FF2BBC419715}">
      <text>
        <r>
          <rPr>
            <sz val="9"/>
            <color indexed="81"/>
            <rFont val="Tahoma"/>
            <family val="2"/>
          </rPr>
          <t>Select the material used from the drop down box.</t>
        </r>
      </text>
    </comment>
    <comment ref="N24" authorId="0" shapeId="0" xr:uid="{738EBAE8-0495-43A3-BDE3-71F71CD3DE7D}">
      <text>
        <r>
          <rPr>
            <sz val="9"/>
            <color indexed="81"/>
            <rFont val="Tahoma"/>
            <family val="2"/>
          </rPr>
          <t>Select a percentage</t>
        </r>
      </text>
    </comment>
    <comment ref="AK24" authorId="0" shapeId="0" xr:uid="{E35C7763-1344-40EF-9F75-D5193F1E13ED}">
      <text>
        <r>
          <rPr>
            <sz val="9"/>
            <color indexed="81"/>
            <rFont val="Tahoma"/>
            <family val="2"/>
          </rPr>
          <t>Select the material used from the drop down box.</t>
        </r>
      </text>
    </comment>
    <comment ref="AK26" authorId="0" shapeId="0" xr:uid="{238A3C1B-9328-4983-B623-5EA7E90FB097}">
      <text>
        <r>
          <rPr>
            <sz val="9"/>
            <color indexed="81"/>
            <rFont val="Tahoma"/>
            <family val="2"/>
          </rPr>
          <t>Select the material used from the drop down box.</t>
        </r>
      </text>
    </comment>
    <comment ref="D27" authorId="0" shapeId="0" xr:uid="{14D51A5C-93D1-4263-B426-31DDCADCA013}">
      <text>
        <r>
          <rPr>
            <sz val="9"/>
            <color indexed="81"/>
            <rFont val="Tahoma"/>
            <family val="2"/>
          </rPr>
          <t>Select a product from the drop down box.</t>
        </r>
      </text>
    </comment>
    <comment ref="L28" authorId="0" shapeId="0" xr:uid="{49C442BB-B474-409C-BCC4-45CD12475249}">
      <text>
        <r>
          <rPr>
            <sz val="9"/>
            <color indexed="81"/>
            <rFont val="Tahoma"/>
            <family val="2"/>
          </rPr>
          <t>Enter foundation wall height above ground in feet</t>
        </r>
      </text>
    </comment>
    <comment ref="R28" authorId="0" shapeId="0" xr:uid="{51A49EE2-BA10-4B1B-9B46-44D17F835EFA}">
      <text>
        <r>
          <rPr>
            <sz val="9"/>
            <color indexed="81"/>
            <rFont val="Tahoma"/>
            <family val="2"/>
          </rPr>
          <t>Enter foundation wall height below ground in feet</t>
        </r>
      </text>
    </comment>
    <comment ref="AK28" authorId="0" shapeId="0" xr:uid="{ED640E45-CC52-4310-AD83-6CCB51F5303B}">
      <text>
        <r>
          <rPr>
            <sz val="9"/>
            <color indexed="81"/>
            <rFont val="Tahoma"/>
            <family val="2"/>
          </rPr>
          <t>Select the material used from the drop down box.</t>
        </r>
      </text>
    </comment>
    <comment ref="N30" authorId="0" shapeId="0" xr:uid="{9DB7BE8D-2E49-45A7-A707-A79D826929FA}">
      <text>
        <r>
          <rPr>
            <sz val="9"/>
            <color indexed="81"/>
            <rFont val="Tahoma"/>
            <family val="2"/>
          </rPr>
          <t xml:space="preserve">Select a percentage
</t>
        </r>
      </text>
    </comment>
    <comment ref="AK30" authorId="0" shapeId="0" xr:uid="{6B35F092-89A2-4623-B3A2-604C5EECC44F}">
      <text>
        <r>
          <rPr>
            <sz val="9"/>
            <color indexed="81"/>
            <rFont val="Tahoma"/>
            <family val="2"/>
          </rPr>
          <t>Select the material used from the drop down box.</t>
        </r>
      </text>
    </comment>
    <comment ref="D35" authorId="0" shapeId="0" xr:uid="{9B7F1439-060C-42BF-A558-5FF0433AC862}">
      <text>
        <r>
          <rPr>
            <sz val="9"/>
            <color indexed="81"/>
            <rFont val="Tahoma"/>
            <family val="2"/>
          </rPr>
          <t>Select a product from the drop down box.</t>
        </r>
      </text>
    </comment>
    <comment ref="D39" authorId="0" shapeId="0" xr:uid="{36DAE57D-797E-4291-AE1E-D1877DA85F61}">
      <text>
        <r>
          <rPr>
            <sz val="9"/>
            <color indexed="81"/>
            <rFont val="Tahoma"/>
            <family val="2"/>
          </rPr>
          <t>Select a product from the drop down box.</t>
        </r>
      </text>
    </comment>
    <comment ref="AN40" authorId="0" shapeId="0" xr:uid="{1C74316D-02EF-4B01-9FA5-289858C98BBB}">
      <text>
        <r>
          <rPr>
            <sz val="9"/>
            <color indexed="81"/>
            <rFont val="Tahoma"/>
            <family val="2"/>
          </rPr>
          <t>Capacity must be entered for Tier 2 incentive to populate</t>
        </r>
      </text>
    </comment>
    <comment ref="AH42" authorId="0" shapeId="0" xr:uid="{E2ACFF4F-A7B5-4E40-A152-CE65AC1887F0}">
      <text>
        <r>
          <rPr>
            <sz val="9"/>
            <color indexed="81"/>
            <rFont val="Tahoma"/>
            <family val="2"/>
          </rPr>
          <t>Capacity should be entered in this format: xx,xxx</t>
        </r>
      </text>
    </comment>
    <comment ref="AI44" authorId="0" shapeId="0" xr:uid="{18A076BE-36A4-444E-A0D8-BA69F765C82E}">
      <text>
        <r>
          <rPr>
            <sz val="9"/>
            <color indexed="81"/>
            <rFont val="Tahoma"/>
            <family val="2"/>
          </rPr>
          <t>Capacity must be entered for Tier 2 incentive to populate in this format: xx,xxx</t>
        </r>
      </text>
    </comment>
    <comment ref="AO44" authorId="0" shapeId="0" xr:uid="{DC048E12-C231-4675-BAC6-769EC0C7965A}">
      <text>
        <r>
          <rPr>
            <sz val="9"/>
            <color indexed="81"/>
            <rFont val="Tahoma"/>
            <family val="2"/>
          </rPr>
          <t>Select "X" if equipped</t>
        </r>
      </text>
    </comment>
    <comment ref="AI46" authorId="0" shapeId="0" xr:uid="{576B4056-99DE-4BB4-9FA7-DD8C5DAC0E00}">
      <text>
        <r>
          <rPr>
            <sz val="9"/>
            <color indexed="81"/>
            <rFont val="Tahoma"/>
            <family val="2"/>
          </rPr>
          <t>Capacity must be entered for Tier 2 incentive to populate in this format: xx,xxx</t>
        </r>
      </text>
    </comment>
    <comment ref="AO46" authorId="0" shapeId="0" xr:uid="{92E3BD7A-02CE-436A-A097-23BD31C04A4B}">
      <text>
        <r>
          <rPr>
            <sz val="9"/>
            <color indexed="81"/>
            <rFont val="Tahoma"/>
            <family val="2"/>
          </rPr>
          <t>Select "X" if equipped</t>
        </r>
      </text>
    </comment>
    <comment ref="D47" authorId="0" shapeId="0" xr:uid="{FB74B158-AB73-4B4D-B6F3-D26E39F6B602}">
      <text>
        <r>
          <rPr>
            <sz val="9"/>
            <color indexed="81"/>
            <rFont val="Tahoma"/>
            <family val="2"/>
          </rPr>
          <t>Select a product from the drop down box.</t>
        </r>
      </text>
    </comment>
    <comment ref="J49" authorId="0" shapeId="0" xr:uid="{C57B428D-D78D-47AB-8755-EABFAB538659}">
      <text>
        <r>
          <rPr>
            <sz val="9"/>
            <color indexed="81"/>
            <rFont val="Tahoma"/>
            <family val="2"/>
          </rPr>
          <t xml:space="preserve">Capacity should be entered in this format: xx,xxx
</t>
        </r>
        <r>
          <rPr>
            <sz val="9"/>
            <color indexed="81"/>
            <rFont val="Tahoma"/>
            <family val="2"/>
          </rPr>
          <t xml:space="preserve">
</t>
        </r>
      </text>
    </comment>
    <comment ref="V49" authorId="0" shapeId="0" xr:uid="{86DDF9F7-8704-45F5-9419-65160459A2AD}">
      <text>
        <r>
          <rPr>
            <sz val="9"/>
            <color indexed="81"/>
            <rFont val="Tahoma"/>
            <family val="2"/>
          </rPr>
          <t>Capacity should be entered in this format: xx,xxx</t>
        </r>
      </text>
    </comment>
    <comment ref="D50" authorId="0" shapeId="0" xr:uid="{85407F6B-5BDC-47BC-9CBB-3B8026C22D73}">
      <text>
        <r>
          <rPr>
            <sz val="9"/>
            <color indexed="81"/>
            <rFont val="Tahoma"/>
            <family val="2"/>
          </rPr>
          <t>Select a product from the drop down box.</t>
        </r>
      </text>
    </comment>
    <comment ref="J52" authorId="0" shapeId="0" xr:uid="{C1FACEE3-8569-4631-B933-2245870FE291}">
      <text>
        <r>
          <rPr>
            <sz val="9"/>
            <color indexed="81"/>
            <rFont val="Tahoma"/>
            <family val="2"/>
          </rPr>
          <t xml:space="preserve">Capacity should be entered in this format: xx,xxx
</t>
        </r>
        <r>
          <rPr>
            <sz val="9"/>
            <color indexed="81"/>
            <rFont val="Tahoma"/>
            <family val="2"/>
          </rPr>
          <t xml:space="preserve">
</t>
        </r>
      </text>
    </comment>
    <comment ref="V52" authorId="0" shapeId="0" xr:uid="{DF216AD1-5B8D-42F4-8988-54E0B01BC168}">
      <text>
        <r>
          <rPr>
            <sz val="9"/>
            <color indexed="81"/>
            <rFont val="Tahoma"/>
            <family val="2"/>
          </rPr>
          <t>Capacity should be entered in this format: xx,xxx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H14" authorId="0" shapeId="0" xr:uid="{0AC354F8-933C-41CB-ADB4-AD92F62F4738}">
      <text>
        <r>
          <rPr>
            <sz val="9"/>
            <color indexed="81"/>
            <rFont val="Tahoma"/>
            <family val="2"/>
          </rPr>
          <t>Select one</t>
        </r>
      </text>
    </comment>
    <comment ref="H16" authorId="0" shapeId="0" xr:uid="{29C074AC-D234-4260-81BB-B9B56EF5883F}">
      <text>
        <r>
          <rPr>
            <sz val="9"/>
            <color indexed="81"/>
            <rFont val="Tahoma"/>
            <family val="2"/>
          </rPr>
          <t>Select one</t>
        </r>
      </text>
    </comment>
    <comment ref="H18" authorId="0" shapeId="0" xr:uid="{F7669681-9480-4A14-845C-FDA4CF2B4EC3}">
      <text>
        <r>
          <rPr>
            <sz val="9"/>
            <color indexed="81"/>
            <rFont val="Tahoma"/>
            <family val="2"/>
          </rPr>
          <t>Select one</t>
        </r>
      </text>
    </comment>
    <comment ref="N22" authorId="0" shapeId="0" xr:uid="{09EAC4DD-B3C6-43A1-9081-11174556B358}">
      <text>
        <r>
          <rPr>
            <sz val="9"/>
            <color indexed="81"/>
            <rFont val="Tahoma"/>
            <family val="2"/>
          </rPr>
          <t xml:space="preserve">Select a percentage
</t>
        </r>
      </text>
    </comment>
    <comment ref="AK22" authorId="0" shapeId="0" xr:uid="{F96B54C4-1F74-41CF-AF19-E88A7BEB6491}">
      <text>
        <r>
          <rPr>
            <sz val="9"/>
            <color indexed="81"/>
            <rFont val="Tahoma"/>
            <family val="2"/>
          </rPr>
          <t>Select the material used from the drop down box.</t>
        </r>
      </text>
    </comment>
    <comment ref="D23" authorId="0" shapeId="0" xr:uid="{DDC7A636-FE55-4053-A871-0E4014BD4002}">
      <text>
        <r>
          <rPr>
            <sz val="9"/>
            <color indexed="81"/>
            <rFont val="Tahoma"/>
            <family val="2"/>
          </rPr>
          <t>Select a product from the drop down box.</t>
        </r>
      </text>
    </comment>
    <comment ref="J25" authorId="0" shapeId="0" xr:uid="{F64BB9EF-E7A7-4349-B64E-95DE1F853FB0}">
      <text>
        <r>
          <rPr>
            <sz val="9"/>
            <color indexed="81"/>
            <rFont val="Tahoma"/>
            <family val="2"/>
          </rPr>
          <t xml:space="preserve">Capacity should be entered in this format: xx,xxx
</t>
        </r>
        <r>
          <rPr>
            <sz val="9"/>
            <color indexed="81"/>
            <rFont val="Tahoma"/>
            <family val="2"/>
          </rPr>
          <t xml:space="preserve">
</t>
        </r>
      </text>
    </comment>
    <comment ref="V25" authorId="0" shapeId="0" xr:uid="{76708D97-CDF9-4071-996B-1B90E99ACC46}">
      <text>
        <r>
          <rPr>
            <sz val="9"/>
            <color indexed="81"/>
            <rFont val="Tahoma"/>
            <family val="2"/>
          </rPr>
          <t>Capacity should be entered in this format: xx,xxx</t>
        </r>
      </text>
    </comment>
    <comment ref="D26" authorId="0" shapeId="0" xr:uid="{EEDD3D3D-1BA0-4710-BC05-572DA72BBD0E}">
      <text>
        <r>
          <rPr>
            <sz val="9"/>
            <color indexed="81"/>
            <rFont val="Tahoma"/>
            <family val="2"/>
          </rPr>
          <t>Select a product from the drop down box.</t>
        </r>
      </text>
    </comment>
    <comment ref="J28" authorId="0" shapeId="0" xr:uid="{849AB4AC-BF55-43DB-95E4-AA2732141A5E}">
      <text>
        <r>
          <rPr>
            <sz val="9"/>
            <color indexed="81"/>
            <rFont val="Tahoma"/>
            <family val="2"/>
          </rPr>
          <t xml:space="preserve">Capacity should be entered in this format: xx,xxx
</t>
        </r>
        <r>
          <rPr>
            <sz val="9"/>
            <color indexed="81"/>
            <rFont val="Tahoma"/>
            <family val="2"/>
          </rPr>
          <t xml:space="preserve">
</t>
        </r>
      </text>
    </comment>
    <comment ref="V28" authorId="0" shapeId="0" xr:uid="{827C8D9A-65DF-4874-9428-44BA3C18BF4F}">
      <text>
        <r>
          <rPr>
            <sz val="9"/>
            <color indexed="81"/>
            <rFont val="Tahoma"/>
            <family val="2"/>
          </rPr>
          <t>Capacity should be entered in this format: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705B5292-F8F6-4571-B2F2-40AD0D95D0BF}">
      <text>
        <r>
          <rPr>
            <sz val="9"/>
            <color indexed="81"/>
            <rFont val="Tahoma"/>
            <family val="2"/>
          </rPr>
          <t>Remember to subtract Baseline pressure</t>
        </r>
      </text>
    </comment>
    <comment ref="AC28" authorId="1" shapeId="0" xr:uid="{B1DA1C2E-1744-40EB-B882-67CD02DF5C56}">
      <text>
        <r>
          <rPr>
            <sz val="9"/>
            <color indexed="81"/>
            <rFont val="Tahoma"/>
            <family val="2"/>
          </rPr>
          <t>limit = 200 ppm air free</t>
        </r>
      </text>
    </comment>
    <comment ref="AC30" authorId="1" shapeId="0" xr:uid="{280AFC2F-5B62-420A-9576-AC7506AF244E}">
      <text>
        <r>
          <rPr>
            <sz val="9"/>
            <color indexed="81"/>
            <rFont val="Tahoma"/>
            <family val="2"/>
          </rPr>
          <t>limit = 400 ppm air free</t>
        </r>
      </text>
    </comment>
    <comment ref="AG32" authorId="1" shapeId="0" xr:uid="{0EA02768-983B-4D50-A5CE-3590E1791722}">
      <text>
        <r>
          <rPr>
            <sz val="9"/>
            <color indexed="81"/>
            <rFont val="Tahoma"/>
            <family val="2"/>
          </rPr>
          <t>limit = 225 as measured</t>
        </r>
      </text>
    </comment>
    <comment ref="K52" authorId="1" shapeId="0" xr:uid="{E05E124B-90C4-4C13-B7D3-E6B3B744FB41}">
      <text>
        <r>
          <rPr>
            <sz val="9"/>
            <color indexed="81"/>
            <rFont val="Tahoma"/>
            <family val="2"/>
          </rPr>
          <t>Select one based on location, refer to Section 4 below for table</t>
        </r>
      </text>
    </comment>
    <comment ref="AB74" authorId="0" shapeId="0" xr:uid="{9E2DAC72-977D-4E1E-8C49-2F3CFB80DE15}">
      <text>
        <r>
          <rPr>
            <sz val="9"/>
            <color indexed="81"/>
            <rFont val="Tahoma"/>
            <family val="2"/>
          </rPr>
          <t>Remember to subtract Baseline pressure</t>
        </r>
      </text>
    </comment>
    <comment ref="AC78" authorId="1" shapeId="0" xr:uid="{125D2539-C1CE-4B96-A3E8-CF001335B04A}">
      <text>
        <r>
          <rPr>
            <sz val="9"/>
            <color indexed="81"/>
            <rFont val="Tahoma"/>
            <family val="2"/>
          </rPr>
          <t>limit = 200 ppm air free</t>
        </r>
      </text>
    </comment>
    <comment ref="AC80" authorId="1" shapeId="0" xr:uid="{4792C5BA-FD12-4248-A6EF-8E1D86FE82E8}">
      <text>
        <r>
          <rPr>
            <sz val="9"/>
            <color indexed="81"/>
            <rFont val="Tahoma"/>
            <family val="2"/>
          </rPr>
          <t>limit = 400 ppm air free</t>
        </r>
      </text>
    </comment>
    <comment ref="AG82" authorId="1" shapeId="0" xr:uid="{CBAC7509-0661-4F53-AF87-177902563D15}">
      <text>
        <r>
          <rPr>
            <sz val="9"/>
            <color indexed="81"/>
            <rFont val="Tahoma"/>
            <family val="2"/>
          </rPr>
          <t>limit = 225 as measured</t>
        </r>
      </text>
    </comment>
    <comment ref="AA95" authorId="1" shapeId="0" xr:uid="{6C6168C5-CDDB-4778-8535-0D15628C8C3A}">
      <text>
        <r>
          <rPr>
            <sz val="9"/>
            <color indexed="81"/>
            <rFont val="Tahoma"/>
            <family val="2"/>
          </rPr>
          <t>Select one</t>
        </r>
      </text>
    </comment>
    <comment ref="K103" authorId="1" shapeId="0" xr:uid="{F54C4849-693D-47F1-9BD0-9B73A11D2B0C}">
      <text>
        <r>
          <rPr>
            <sz val="9"/>
            <color indexed="81"/>
            <rFont val="Tahoma"/>
            <family val="2"/>
          </rPr>
          <t>Make a selection on line 52 in Section 2 to populate this variable.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L52" authorId="0" shapeId="0" xr:uid="{78CE61B2-6D8F-4BFE-A9A3-5EC4EF402C1C}">
      <text>
        <r>
          <rPr>
            <b/>
            <sz val="9"/>
            <color indexed="81"/>
            <rFont val="Tahoma"/>
            <family val="2"/>
          </rPr>
          <t>Acceptable/Unaccpetable</t>
        </r>
        <r>
          <rPr>
            <sz val="9"/>
            <color indexed="81"/>
            <rFont val="Tahoma"/>
            <family val="2"/>
          </rPr>
          <t xml:space="preserve">
</t>
        </r>
      </text>
    </comment>
    <comment ref="R52" authorId="0" shapeId="0" xr:uid="{7978874D-A388-4E6B-BE7C-86B2D0A5CA99}">
      <text>
        <r>
          <rPr>
            <b/>
            <sz val="9"/>
            <color indexed="81"/>
            <rFont val="Tahoma"/>
            <family val="2"/>
          </rPr>
          <t>Acceptable/Unaccpetable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tc={7D9B61C9-8112-4008-BCA5-D0832275B93C}</author>
    <author>tc={7E19FCB0-1223-4BB4-8758-94004D93B00F}</author>
  </authors>
  <commentList>
    <comment ref="G11" authorId="0" shapeId="0" xr:uid="{7D9B61C9-8112-4008-BCA5-D0832275B93C}">
      <text>
        <t>[Threaded comment]
Your version of Excel allows you to read this threaded comment; however, any edits to it will get removed if the file is opened in a newer version of Excel. Learn more: https://go.microsoft.com/fwlink/?linkid=870924
Comment:
    EIA data from Nov 2021 to March 2022 for Illinois was an average of $2.28 (https://www.eia.gov/dnav/pet/PET_PRI_WFR_DCUS_SIL_W.htm)
Reply:
    4/21/25 Electricity/Natural Gas/Propane/Fuel Oil rates updated CD</t>
      </text>
    </comment>
    <comment ref="G12" authorId="1" shapeId="0" xr:uid="{7E19FCB0-1223-4BB4-8758-94004D93B00F}">
      <text>
        <t>[Threaded comment]
Your version of Excel allows you to read this threaded comment; however, any edits to it will get removed if the file is opened in a newer version of Excel. Learn more: https://go.microsoft.com/fwlink/?linkid=870924
Comment:
    Annual Energy Outlook 2022, Table 3. Energy Prices by Sector and Source, Reference Case, East North Central, Residential, 2022 Nominal $/MMBtu ($17.297)</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tc={FBB7928C-DE10-4D4F-A12C-8BC2792F9318}</author>
    <author>tc={2B29E955-605D-4B5E-93CB-B1D104D5ED99}</author>
    <author>tc={0FB1F3C5-B119-4BAC-9F41-8025B930AA9B}</author>
    <author>tc={CE31310A-B988-4A4C-ADAC-1C3AB96EF956}</author>
    <author>tc={BB6227B9-56BF-4F71-871A-5E97D1B08A43}</author>
    <author>tc={1323A354-54CA-4144-AC16-85A88CF96619}</author>
    <author>tc={707A3865-B10C-45AC-ADCC-93E7439613AA}</author>
    <author>tc={8D599A5F-E2DB-427E-91DD-C56B178FF387}</author>
    <author>tc={0A6C9089-21BC-4120-B368-2A76068E94A0}</author>
    <author>tc={661E0E9F-2C39-49D4-9D16-94D17552052B}</author>
    <author>tc={7E29F788-115D-4806-8979-1FC5DC484B92}</author>
    <author>tc={87E85358-4030-4E8B-A316-4FDDCA6646B8}</author>
    <author>tc={E6D6C51A-FAB1-464D-A4D1-AEEBCCE9E1F4}</author>
    <author>tc={E81AB419-34C2-416D-8C0E-3B5840BB4900}</author>
    <author>tc={8FEC3668-CBCB-415D-AA6B-76CF11069E46}</author>
    <author>tc={3D5AD969-5AD2-4717-BEE2-60F608D8F39F}</author>
    <author>tc={40E98D7F-6B57-49E7-9486-89F1F6E5599B}</author>
    <author>tc={B2430EB3-C39D-49D8-B995-88F5253390F1}</author>
    <author>tc={91627B46-5479-46BC-930A-0E1D3F778733}</author>
    <author>tc={A39332D2-F20E-4F2C-BF30-D4969AE79C79}</author>
    <author>tc={4592D327-4FD5-463E-B154-2AD729146E2A}</author>
    <author>tc={43E3516F-5E3B-4FAC-8560-1666CCC49F10}</author>
    <author>tc={B323DB68-1110-4D0D-AB69-1338C33A856E}</author>
    <author>tc={86BF7CF9-A8BF-468B-92DF-E4C2844BCEBA}</author>
    <author>tc={CA193C4F-40C7-4FFD-873E-0CE6E70166CD}</author>
    <author>tc={DDABDCA6-3CB7-462A-BA26-AB3E0F0221EC}</author>
    <author>tc={0914BD10-61CF-475A-BF8F-BABA1886ACB0}</author>
    <author>tc={3923FDF3-FB80-4F75-A4C9-16615D397A13}</author>
    <author>tc={871707CC-F194-4ABE-AC2E-F9F82C6D4552}</author>
    <author>tc={A77FE4A3-AE01-4B07-AAB8-E70EE96B5ED0}</author>
    <author>tc={4CE2FE4C-E364-44CB-8144-D76B798CAC1A}</author>
    <author>tc={D8B5293C-399C-4965-95D1-96A50AEF9FCF}</author>
    <author>tc={3E2605D6-B3FD-44F2-9921-94FA27E1A40C}</author>
    <author>tc={19CE8DBF-E64D-4964-9E81-FD73BAD670CD}</author>
    <author>tc={3673746C-167B-4CD7-ADF7-CF792440A5D2}</author>
    <author>tc={D7DCBA0F-0C31-4DA5-AD1D-7164EA465A9E}</author>
    <author>tc={8C8CFD1B-7814-413C-B7AA-54952B35B036}</author>
    <author>tc={AF69642D-C95D-48A5-AA44-132FF6B72B48}</author>
    <author>tc={AD64C083-F338-4C71-AEE7-867F7EE463A0}</author>
    <author>tc={EEAC5351-579D-4FD3-A1D9-752BBEDAC112}</author>
    <author>tc={281957D6-8736-4726-8D7A-514240365C09}</author>
    <author>tc={AF69C6C3-DCAE-4397-B8FE-7C1DAFA3DD3F}</author>
    <author>tc={7F974604-6562-453C-956B-BA3FD9162208}</author>
    <author>tc={5C78E708-7685-4611-9F7E-A3AA1474168B}</author>
    <author>tc={3FBA8B60-5F3C-4210-8249-C6AFE2A413CB}</author>
    <author>tc={8443F264-8376-4FF9-9E11-356B528AB15C}</author>
    <author>tc={899FF9B0-8367-42E4-9EBB-7E9F8E10AF03}</author>
    <author>tc={4178C0E8-1F86-4AF7-B066-60963545A746}</author>
    <author>tc={30A7F9D4-CD9C-4C7B-9B3B-1B5D4792385E}</author>
    <author>tc={96BAA5C6-2C28-4171-8A1E-EA7EB1A59BBC}</author>
    <author>tc={B2A61150-D584-4D64-8086-96AF0DC9A45A}</author>
    <author>tc={13A9FF20-9D01-410B-8F98-73759208FAC9}</author>
    <author>tc={206DEFE1-2C3B-4478-9ED9-08F629817C1B}</author>
    <author>tc={40D0CB63-104E-499B-8710-21974CF85B01}</author>
    <author>tc={7F81EB8A-CA17-4815-B77B-1EF2CA4AA59A}</author>
    <author>tc={569ADCD9-0EC5-4777-9626-5F46EE68FE54}</author>
    <author>tc={DD2D20B7-7C82-4B64-A82D-B3ED43DA71ED}</author>
    <author>tc={9884203B-5233-43F4-A372-2E9DAE0BEDEF}</author>
    <author>tc={EF66B99F-DBF1-4245-B155-3B1629CED777}</author>
    <author>tc={0BED2153-5AAB-4253-BE84-51296910C1CD}</author>
    <author>tc={9070CA27-4523-4A21-96D1-F0E4B9E0AD97}</author>
    <author>tc={9805858E-154E-4560-9B12-761E4E4ACA50}</author>
    <author>tc={D9D8EDF2-72F4-4A18-851C-7E9367F6499A}</author>
    <author>tc={E02FEEF7-3D4C-485A-B272-5D4283C2C858}</author>
    <author>tc={BDEB39A0-1185-4831-83DC-9BFEA39BC76C}</author>
    <author>tc={7C234955-84C8-4B95-81F0-6A00D56C6855}</author>
    <author>tc={91C9FED0-D7E0-46A6-9F0A-B5FF8505DA93}</author>
    <author>tc={42E91734-090A-4736-9F2E-1505982EFA26}</author>
    <author>tc={7B2CEA82-A2CB-487C-BD1B-A5D648C9DAC9}</author>
    <author>tc={BF8D0C48-D9FF-4B31-968B-1C67116034A3}</author>
    <author>tc={6D0D3FA6-B988-4242-B664-D3211ADAFE11}</author>
    <author>tc={447B0D78-1C5D-4D26-AF7E-31982A2E8650}</author>
    <author>tc={4BD1EB6F-E1DE-433D-9780-2408D19C14BF}</author>
    <author>tc={230BE000-CCEA-4C01-9193-7B5DEA86319F}</author>
    <author>tc={9CF6DB39-F504-43F4-8582-F9849F2F2579}</author>
  </authors>
  <commentList>
    <comment ref="F119" authorId="0" shapeId="0" xr:uid="{FBB7928C-DE10-4D4F-A12C-8BC2792F931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194" authorId="1" shapeId="0" xr:uid="{2B29E955-605D-4B5E-93CB-B1D104D5ED99}">
      <text>
        <t>[Threaded comment]
Your version of Excel allows you to read this threaded comment; however, any edits to it will get removed if the file is opened in a newer version of Excel. Learn more: https://go.microsoft.com/fwlink/?linkid=870924
Comment:
    Updated to rely on UEF entered on Project Details. If blank, assumes 3.5 default value.</t>
      </text>
    </comment>
    <comment ref="F204" authorId="2" shapeId="0" xr:uid="{0FB1F3C5-B119-4BAC-9F41-8025B930AA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08" authorId="3" shapeId="0" xr:uid="{CE31310A-B988-4A4C-ADAC-1C3AB96EF956}">
      <text>
        <t>[Threaded comment]
Your version of Excel allows you to read this threaded comment; however, any edits to it will get removed if the file is opened in a newer version of Excel. Learn more: https://go.microsoft.com/fwlink/?linkid=870924
Comment:
    Updated from IL TRM v12
Reply:
    Updated from IL TRM v13</t>
      </text>
    </comment>
    <comment ref="F216" authorId="4" shapeId="0" xr:uid="{BB6227B9-56BF-4F71-871A-5E97D1B08A43}">
      <text>
        <t>[Threaded comment]
Your version of Excel allows you to read this threaded comment; however, any edits to it will get removed if the file is opened in a newer version of Excel. Learn more: https://go.microsoft.com/fwlink/?linkid=870924
Comment:
    Updated to rely on capacity entered on Project Details.</t>
      </text>
    </comment>
    <comment ref="F219" authorId="5" shapeId="0" xr:uid="{1323A354-54CA-4144-AC16-85A88CF96619}">
      <text>
        <t>[Threaded comment]
Your version of Excel allows you to read this threaded comment; however, any edits to it will get removed if the file is opened in a newer version of Excel. Learn more: https://go.microsoft.com/fwlink/?linkid=870924
Comment:
    Updated to TRM v13.0</t>
      </text>
    </comment>
    <comment ref="G236" authorId="6" shapeId="0" xr:uid="{707A3865-B10C-45AC-ADCC-93E7439613AA}">
      <text>
        <t>[Threaded comment]
Your version of Excel allows you to read this threaded comment; however, any edits to it will get removed if the file is opened in a newer version of Excel. Learn more: https://go.microsoft.com/fwlink/?linkid=870924
Comment:
    IL TRM v11, Residential Heat Pump DHW Winter Peak and Winter Off-Peak Loadshapes.</t>
      </text>
    </comment>
    <comment ref="G237" authorId="7" shapeId="0" xr:uid="{8D599A5F-E2DB-427E-91DD-C56B178FF387}">
      <text>
        <t>[Threaded comment]
Your version of Excel allows you to read this threaded comment; however, any edits to it will get removed if the file is opened in a newer version of Excel. Learn more: https://go.microsoft.com/fwlink/?linkid=870924
Comment:
    IL TRM v11, Residential Heat Pump DHW Summer Peak and Winter Off-Peak Loadshapes.</t>
      </text>
    </comment>
    <comment ref="F251" authorId="8" shapeId="0" xr:uid="{0A6C9089-21BC-4120-B368-2A76068E94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62" authorId="9" shapeId="0" xr:uid="{661E0E9F-2C39-49D4-9D16-94D17552052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24" authorId="10" shapeId="0" xr:uid="{7E29F788-115D-4806-8979-1FC5DC484B9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31" authorId="11" shapeId="0" xr:uid="{87E85358-4030-4E8B-A316-4FDDCA6646B8}">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32" authorId="12" shapeId="0" xr:uid="{E6D6C51A-FAB1-464D-A4D1-AEEBCCE9E1F4}">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41" authorId="13" shapeId="0" xr:uid="{E81AB419-34C2-416D-8C0E-3B5840BB490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1" authorId="14" shapeId="0" xr:uid="{8FEC3668-CBCB-415D-AA6B-76CF11069E4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52" authorId="15" shapeId="0" xr:uid="{3D5AD969-5AD2-4717-BEE2-60F608D8F39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5" authorId="16" shapeId="0" xr:uid="{40E98D7F-6B57-49E7-9486-89F1F6E559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64" authorId="17" shapeId="0" xr:uid="{B2430EB3-C39D-49D8-B995-88F5253390F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70" authorId="18" shapeId="0" xr:uid="{91627B46-5479-46BC-930A-0E1D3F77873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4" authorId="19" shapeId="0" xr:uid="{A39332D2-F20E-4F2C-BF30-D4969AE79C7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9" authorId="20" shapeId="0" xr:uid="{4592D327-4FD5-463E-B154-2AD729146E2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09" authorId="21" shapeId="0" xr:uid="{43E3516F-5E3B-4FAC-8560-1666CCC49F1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3" authorId="22" shapeId="0" xr:uid="{B323DB68-1110-4D0D-AB69-1338C33A856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9" authorId="23" shapeId="0" xr:uid="{86BF7CF9-A8BF-468B-92DF-E4C2844BCEB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23" authorId="24" shapeId="0" xr:uid="{CA193C4F-40C7-4FFD-873E-0CE6E70166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2" authorId="25" shapeId="0" xr:uid="{DDABDCA6-3CB7-462A-BA26-AB3E0F0221E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6" authorId="26" shapeId="0" xr:uid="{0914BD10-61CF-475A-BF8F-BABA1886ACB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48" authorId="27" shapeId="0" xr:uid="{3923FDF3-FB80-4F75-A4C9-16615D397A1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2" authorId="28" shapeId="0" xr:uid="{871707CC-F194-4ABE-AC2E-F9F82C6D455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7" authorId="29" shapeId="0" xr:uid="{A77FE4A3-AE01-4B07-AAB8-E70EE96B5ED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77" authorId="30" shapeId="0" xr:uid="{4CE2FE4C-E364-44CB-8144-D76B798CAC1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1" authorId="31" shapeId="0" xr:uid="{D8B5293C-399C-4965-95D1-96A50AEF9FC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7" authorId="32" shapeId="0" xr:uid="{3E2605D6-B3FD-44F2-9921-94FA27E1A40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91" authorId="33" shapeId="0" xr:uid="{19CE8DBF-E64D-4964-9E81-FD73BAD670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0" authorId="34" shapeId="0" xr:uid="{3673746C-167B-4CD7-ADF7-CF792440A5D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4" authorId="35" shapeId="0" xr:uid="{D7DCBA0F-0C31-4DA5-AD1D-7164EA465A9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16" authorId="36" shapeId="0" xr:uid="{8C8CFD1B-7814-413C-B7AA-54952B35B03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0" authorId="37" shapeId="0" xr:uid="{AF69642D-C95D-48A5-AA44-132FF6B72B4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5" authorId="38" shapeId="0" xr:uid="{AD64C083-F338-4C71-AEE7-867F7EE463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4" authorId="39" shapeId="0" xr:uid="{EEAC5351-579D-4FD3-A1D9-752BBEDAC11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8" authorId="40" shapeId="0" xr:uid="{281957D6-8736-4726-8D7A-514240365C0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58" authorId="41" shapeId="0" xr:uid="{AF69C6C3-DCAE-4397-B8FE-7C1DAFA3DD3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67" authorId="42" shapeId="0" xr:uid="{7F974604-6562-453C-956B-BA3FD916220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71" authorId="43" shapeId="0" xr:uid="{5C78E708-7685-4611-9F7E-A3AA1474168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82" authorId="44" shapeId="0" xr:uid="{3FBA8B60-5F3C-4210-8249-C6AFE2A413C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96" authorId="45" shapeId="0" xr:uid="{8443F264-8376-4FF9-9E11-356B528AB15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01" authorId="46" shapeId="0" xr:uid="{899FF9B0-8367-42E4-9EBB-7E9F8E10AF0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0" authorId="47" shapeId="0" xr:uid="{4178C0E8-1F86-4AF7-B066-60963545A74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4" authorId="48" shapeId="0" xr:uid="{30A7F9D4-CD9C-4C7B-9B3B-1B5D4792385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24" authorId="49" shapeId="0" xr:uid="{96BAA5C6-2C28-4171-8A1E-EA7EB1A59BB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3" authorId="50" shapeId="0" xr:uid="{B2A61150-D584-4D64-8086-96AF0DC9A45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7" authorId="51" shapeId="0" xr:uid="{13A9FF20-9D01-410B-8F98-73759208F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48" authorId="52" shapeId="0" xr:uid="{206DEFE1-2C3B-4478-9ED9-08F629817C1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2" authorId="53" shapeId="0" xr:uid="{40D0CB63-104E-499B-8710-21974CF85B0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5" authorId="54" shapeId="0" xr:uid="{7F81EB8A-CA17-4815-B77B-1EF2CA4AA5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67" authorId="55" shapeId="0" xr:uid="{569ADCD9-0EC5-4777-9626-5F46EE68FE54}">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76" authorId="56" shapeId="0" xr:uid="{DD2D20B7-7C82-4B64-A82D-B3ED43DA71E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80" authorId="57" shapeId="0" xr:uid="{9884203B-5233-43F4-A372-2E9DAE0BEDEF}">
      <text>
        <t>[Threaded comment]
Your version of Excel allows you to read this threaded comment; however, any edits to it will get removed if the file is opened in a newer version of Excel. Learn more: https://go.microsoft.com/fwlink/?linkid=870924
Comment:
    Updated IL v12</t>
      </text>
    </comment>
    <comment ref="F690" authorId="58" shapeId="0" xr:uid="{EF66B99F-DBF1-4245-B155-3B1629CED777}">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99" authorId="59" shapeId="0" xr:uid="{0BED2153-5AAB-4253-BE84-51296910C1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14" authorId="60" shapeId="0" xr:uid="{9070CA27-4523-4A21-96D1-F0E4B9E0AD97}">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27" authorId="61" shapeId="0" xr:uid="{9805858E-154E-4560-9B12-761E4E4ACA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30" authorId="62" shapeId="0" xr:uid="{D9D8EDF2-72F4-4A18-851C-7E9367F649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41" authorId="63" shapeId="0" xr:uid="{E02FEEF7-3D4C-485A-B272-5D4283C2C85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43" authorId="64" shapeId="0" xr:uid="{BDEB39A0-1185-4831-83DC-9BFEA39BC76C}">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56" authorId="65" shapeId="0" xr:uid="{7C234955-84C8-4B95-81F0-6A00D56C6855}">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64" authorId="66" shapeId="0" xr:uid="{91C9FED0-D7E0-46A6-9F0A-B5FF8505DA9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80" authorId="67" shapeId="0" xr:uid="{42E91734-090A-4736-9F2E-1505982EFA2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96" authorId="68" shapeId="0" xr:uid="{7B2CEA82-A2CB-487C-BD1B-A5D648C9D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01" authorId="69" shapeId="0" xr:uid="{BF8D0C48-D9FF-4B31-968B-1C67116034A3}">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19" authorId="70" shapeId="0" xr:uid="{6D0D3FA6-B988-4242-B664-D3211ADAFE1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33" authorId="71" shapeId="0" xr:uid="{447B0D78-1C5D-4D26-AF7E-31982A2E86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1" authorId="72" shapeId="0" xr:uid="{4BD1EB6F-E1DE-433D-9780-2408D19C14B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5" authorId="73" shapeId="0" xr:uid="{230BE000-CCEA-4C01-9193-7B5DEA86319F}">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66" authorId="74" shapeId="0" xr:uid="{9CF6DB39-F504-43F4-8582-F9849F2F2579}">
      <text>
        <t>[Threaded comment]
Your version of Excel allows you to read this threaded comment; however, any edits to it will get removed if the file is opened in a newer version of Excel. Learn more: https://go.microsoft.com/fwlink/?linkid=870924
Comment:
    Updated IL TRM v12</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tc={7A9F45F6-B63A-4B53-8554-D7D616AAFA45}</author>
    <author>tc={88319AE6-9DE3-4A81-992C-BE1DE66D3136}</author>
    <author>tc={0C0446AD-718A-4E43-BCCE-1DA601939764}</author>
    <author>tc={30A5F8E8-078C-4B6F-943D-F71B9D5F209E}</author>
    <author>tc={86185BF7-A177-4ABD-B407-78B68A4C540A}</author>
    <author>tc={8E890AF7-74F8-4176-9672-4B89AB6EEEBE}</author>
  </authors>
  <commentList>
    <comment ref="C15" authorId="0" shapeId="0" xr:uid="{7A9F45F6-B63A-4B53-8554-D7D616AAFA45}">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5" authorId="1" shapeId="0" xr:uid="{88319AE6-9DE3-4A81-992C-BE1DE66D3136}">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6" authorId="2" shapeId="0" xr:uid="{0C0446AD-718A-4E43-BCCE-1DA601939764}">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C17" authorId="3" shapeId="0" xr:uid="{30A5F8E8-078C-4B6F-943D-F71B9D5F209E}">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7" authorId="4" shapeId="0" xr:uid="{86185BF7-A177-4ABD-B407-78B68A4C540A}">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8" authorId="5" shapeId="0" xr:uid="{8E890AF7-74F8-4176-9672-4B89AB6EEEBE}">
      <text>
        <t>[Threaded comment]
Your version of Excel allows you to read this threaded comment; however, any edits to it will get removed if the file is opened in a newer version of Excel. Learn more: https://go.microsoft.com/fwlink/?linkid=870924
Comment:
    AIC Emissions Factor Forecast, 2022.</t>
      </text>
    </comment>
  </commentList>
</comments>
</file>

<file path=xl/sharedStrings.xml><?xml version="1.0" encoding="utf-8"?>
<sst xmlns="http://schemas.openxmlformats.org/spreadsheetml/2006/main" count="8399" uniqueCount="1794">
  <si>
    <t>SECTION 1: PROJECT INFORMATION</t>
  </si>
  <si>
    <t>IL</t>
  </si>
  <si>
    <t>Electric Account</t>
  </si>
  <si>
    <t>Gas  Account</t>
  </si>
  <si>
    <t>Heating Equipment</t>
  </si>
  <si>
    <t>Cooling Equipment</t>
  </si>
  <si>
    <t>CAC</t>
  </si>
  <si>
    <t>ASHP</t>
  </si>
  <si>
    <t>None</t>
  </si>
  <si>
    <t>Natural Gas Furnace</t>
  </si>
  <si>
    <t>Natural Gas Boiler</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</si>
  <si>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</si>
  <si>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</si>
  <si>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</si>
  <si>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</si>
  <si>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</si>
  <si>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</si>
  <si>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</si>
  <si>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</si>
  <si>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</si>
  <si>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</si>
  <si>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</si>
  <si>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</si>
  <si>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</si>
  <si>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</si>
  <si>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</si>
  <si>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</si>
  <si>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</si>
  <si>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</si>
  <si>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</si>
  <si>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</si>
  <si>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</si>
  <si>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</si>
  <si>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</si>
  <si>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</si>
  <si>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SECTION 2: PROGRAM ALLY INFORMATION</t>
  </si>
  <si>
    <t>Air Sealing</t>
  </si>
  <si>
    <t>Kneewall Insulation</t>
  </si>
  <si>
    <t>Rim Joist Insulation</t>
  </si>
  <si>
    <t>Wall Insulation</t>
  </si>
  <si>
    <t>Smart Thermostat</t>
  </si>
  <si>
    <t>Air Source Heat Pump</t>
  </si>
  <si>
    <t>Room Air Conditioner</t>
  </si>
  <si>
    <t>Heat Pump Water Heater</t>
  </si>
  <si>
    <t>High Efficiency Blower Motor</t>
  </si>
  <si>
    <t>Attic Insulation</t>
  </si>
  <si>
    <t>Measure</t>
  </si>
  <si>
    <t>ASHRAE Exhaust Fan
[Energy Star Certified]</t>
  </si>
  <si>
    <t>Health and Safety</t>
  </si>
  <si>
    <t>Total Ameren Illinois Incentive</t>
  </si>
  <si>
    <t>Sales Price</t>
  </si>
  <si>
    <t>Exhaust Fan</t>
  </si>
  <si>
    <t>ResidentialEEApplications@ameren.com</t>
  </si>
  <si>
    <t>PP Max</t>
  </si>
  <si>
    <t>E</t>
  </si>
  <si>
    <t>G</t>
  </si>
  <si>
    <t>Heating System 1</t>
  </si>
  <si>
    <t>yes</t>
  </si>
  <si>
    <t>no</t>
  </si>
  <si>
    <t>Attic Insulation R11-R49</t>
  </si>
  <si>
    <t>Attic Insulation R19-R49</t>
  </si>
  <si>
    <t>Heating System 2</t>
  </si>
  <si>
    <t>Crawl Space Wall Insulation &gt; 2'</t>
  </si>
  <si>
    <t>Exhaust Fan w/out Light</t>
  </si>
  <si>
    <t>Exhaust Fan w/Light</t>
  </si>
  <si>
    <t>Cooling System 1</t>
  </si>
  <si>
    <t>Duct Sealing</t>
  </si>
  <si>
    <t>Furnace</t>
  </si>
  <si>
    <t>check size</t>
  </si>
  <si>
    <t>Boiler</t>
  </si>
  <si>
    <t>Cooling System 2</t>
  </si>
  <si>
    <t>Air Source Heat Pump SEER 16.0 and HSPF 9.0 or greater (System 2)</t>
  </si>
  <si>
    <t>Blower Motor - New</t>
  </si>
  <si>
    <t>Window AC</t>
  </si>
  <si>
    <t>Attic Insulation - R11 or Less to R49 or greater</t>
  </si>
  <si>
    <t>Additional Costs</t>
  </si>
  <si>
    <t>Attic Insulation - R19 or Less to R49 or greater</t>
  </si>
  <si>
    <t>Emergency  Furnace</t>
  </si>
  <si>
    <t>Power Vented Water Heater</t>
  </si>
  <si>
    <t>Air Source Heat Pump SEER 16.0 and HSPF 9.0 or greater</t>
  </si>
  <si>
    <t>City</t>
  </si>
  <si>
    <t>Zip Code</t>
  </si>
  <si>
    <t>Email Address</t>
  </si>
  <si>
    <t>Basement</t>
  </si>
  <si>
    <t>Crawlspace</t>
  </si>
  <si>
    <t>Slab</t>
  </si>
  <si>
    <t>Crawlspace &amp; Slab</t>
  </si>
  <si>
    <t>Basement &amp; Slab</t>
  </si>
  <si>
    <t>Basement &amp; Crawlspace</t>
  </si>
  <si>
    <t>Basement &amp; Crawlspace &amp; Slab</t>
  </si>
  <si>
    <t xml:space="preserve">Building Envelope </t>
  </si>
  <si>
    <t>HVAC</t>
  </si>
  <si>
    <t>Building Envelope and HVAC</t>
  </si>
  <si>
    <t>Contact Name</t>
  </si>
  <si>
    <t>System Type</t>
  </si>
  <si>
    <t>Cooling Capacity (Btuh)</t>
  </si>
  <si>
    <t>Manufacturer</t>
  </si>
  <si>
    <t>Model</t>
  </si>
  <si>
    <t>Year of Manufacture</t>
  </si>
  <si>
    <t>Rated Efficiency</t>
  </si>
  <si>
    <t>Derated Efficiency</t>
  </si>
  <si>
    <t>Rated SEER</t>
  </si>
  <si>
    <t>Fuel</t>
  </si>
  <si>
    <t>Venting Type</t>
  </si>
  <si>
    <t>ALLY</t>
  </si>
  <si>
    <t>MEASURE</t>
  </si>
  <si>
    <t>AVAILABLE INCENTIVE</t>
  </si>
  <si>
    <t>QUANTITY</t>
  </si>
  <si>
    <t>ALLY COST</t>
  </si>
  <si>
    <t>A</t>
  </si>
  <si>
    <t>B</t>
  </si>
  <si>
    <t>per CFM50</t>
  </si>
  <si>
    <t>Material Type</t>
  </si>
  <si>
    <t>Caulk</t>
  </si>
  <si>
    <t>Joint Compound</t>
  </si>
  <si>
    <t>One Part Foam</t>
  </si>
  <si>
    <t>Weatherstripping</t>
  </si>
  <si>
    <t>per SF</t>
  </si>
  <si>
    <t>Attic Insulation
[R11 or Less to R49 or Greater]</t>
  </si>
  <si>
    <t>Existing Type</t>
  </si>
  <si>
    <t>Depth</t>
  </si>
  <si>
    <t>Condition</t>
  </si>
  <si>
    <t>SF</t>
  </si>
  <si>
    <t>Final
R-value</t>
  </si>
  <si>
    <t>Installed Type</t>
  </si>
  <si>
    <t>0%</t>
  </si>
  <si>
    <t>Metal</t>
  </si>
  <si>
    <t>Flex</t>
  </si>
  <si>
    <t>Metal &amp; Flex</t>
  </si>
  <si>
    <t>Fiber Board</t>
  </si>
  <si>
    <t>% Ductwork in Unconditioned Space</t>
  </si>
  <si>
    <t>Duct Sealing
[Results per BPI Lookup Table]</t>
  </si>
  <si>
    <t>per home</t>
  </si>
  <si>
    <t>Duct Sealing Material Type</t>
  </si>
  <si>
    <t>Mastic</t>
  </si>
  <si>
    <t>Tape</t>
  </si>
  <si>
    <t>&lt; 25%</t>
  </si>
  <si>
    <t>&lt; 50%</t>
  </si>
  <si>
    <t>&gt; 50%</t>
  </si>
  <si>
    <t>&gt; 75%</t>
  </si>
  <si>
    <t>per unit</t>
  </si>
  <si>
    <t>Model #</t>
  </si>
  <si>
    <t>Capacity</t>
  </si>
  <si>
    <t>Natural Gas Tank</t>
  </si>
  <si>
    <t>Natural Gas On Demand</t>
  </si>
  <si>
    <t>Electric Tank</t>
  </si>
  <si>
    <t>Room Air Conditioner
[Energy Star Certified]</t>
  </si>
  <si>
    <t>Natural Gas Furnace 95% AFUE</t>
  </si>
  <si>
    <t>Natural Gas Boiler 90% AFUE</t>
  </si>
  <si>
    <t>Emergency Furnace 95% AFUE</t>
  </si>
  <si>
    <t>AHRI #</t>
  </si>
  <si>
    <t>Includes ECM</t>
  </si>
  <si>
    <t>Central AC SEER 16.0 and EER 12.5 or greater</t>
  </si>
  <si>
    <t>SEER2</t>
  </si>
  <si>
    <t>EER2</t>
  </si>
  <si>
    <t>HSPF2</t>
  </si>
  <si>
    <t>Conditioned Floor Area (SF)</t>
  </si>
  <si>
    <t>Year Home Built</t>
  </si>
  <si>
    <t>Foundation Type</t>
  </si>
  <si>
    <t>Pre-test CFM50</t>
  </si>
  <si>
    <t>Post-test CFM50</t>
  </si>
  <si>
    <t>When submitting the Reservation/Incentive Application and required documentation, please send all required documents to:</t>
  </si>
  <si>
    <t>DESCRIPTION</t>
  </si>
  <si>
    <t>Ally A Total Cost</t>
  </si>
  <si>
    <t>Ally A Total Incentive</t>
  </si>
  <si>
    <t>Project Bonus</t>
  </si>
  <si>
    <t>Customer Cost</t>
  </si>
  <si>
    <t>Ally B Total Cost</t>
  </si>
  <si>
    <t>Ally B Total Incentive</t>
  </si>
  <si>
    <t>Net Customer Cost</t>
  </si>
  <si>
    <t>Program Financing Requested</t>
  </si>
  <si>
    <t>Final Net Customer Out of Pocket Cost</t>
  </si>
  <si>
    <t>Building Envelope Measure Totals</t>
  </si>
  <si>
    <t>HVAC Measure Totals</t>
  </si>
  <si>
    <t xml:space="preserve">I, the undersigned, agree that the information above is representative of what has been discussed and proposed by the participating program ally (contractor).  I understand that Ameren Illinois program incentives and financing are subject to qualifications and not guaranteed. </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</si>
  <si>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</si>
  <si>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</si>
  <si>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</si>
  <si>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project cost. I agree to allow Ameren Illinois Program staff to perform an on-site Quality Assurance inspection to confirm test results and verify the work performed.  Do not sign prior to project completion.</t>
  </si>
  <si>
    <t>Were any disclaimer form related items discovered?</t>
  </si>
  <si>
    <t>Was combustion safety testing required?</t>
  </si>
  <si>
    <t>Has ventilation requirements been discussed?</t>
  </si>
  <si>
    <r>
      <t xml:space="preserve">Indemnification and Waiver: </t>
    </r>
    <r>
      <rPr>
        <i/>
        <sz val="9"/>
        <color rgb="FF000000"/>
        <rFont val="Calibri"/>
        <family val="2"/>
      </rPr>
      <t>Customer agrees to release, indemnify, defend and hold harmless Ameren Illinois, the Prime Implementer (Leidos, Inc.), and their respective affiliates, subsidiaries, parent companies, officers, directors, agents, subcontractors, and employees (collectively the “Indemnities”), against all claims, losses, damages, expenses, fees, costs and liability of any nature whatsoever arising from any program, design, consulting, measures, product, system, equipment, appliance, or the installation thereof. Customer agrees that such obligations under this section shall survive any expiration or termination of this Agreement and shall not be limited to any remunerations herein of required insurance coverage. To the maximum extent permitted by law, the Customer agrees to limit Indemnities’ liability to the Customer for any reason to the total amount of payments identified in this Agreement. This limitation shall apply regardless of the cause of action or legal theory pled or asserted. Customer hereby expressly waives the right to specifically enforce this Agreement.</t>
    </r>
  </si>
  <si>
    <t>Address</t>
  </si>
  <si>
    <t>SECTION 1: BUILDING ENVELOPE MEASURES</t>
  </si>
  <si>
    <t>SECTION 2: HVAC MEASURES - must have sufficient BE measures to qualify</t>
  </si>
  <si>
    <t>SECTION 3: ADDITIONAL ENERGY EFFICIENCY COST</t>
  </si>
  <si>
    <t>If two or more units exist, please provide and separate model numbers, age, etc. with an *</t>
  </si>
  <si>
    <t>Please Describe Below Unique and/or Unusual Circumstances that Support Measure or Project Eligibility for Consideration</t>
  </si>
  <si>
    <t>SECTION 4: PROJECT NOTES</t>
  </si>
  <si>
    <t>Secondary Ally</t>
  </si>
  <si>
    <t>Primary Ally</t>
  </si>
  <si>
    <t>Type</t>
  </si>
  <si>
    <t>Age</t>
  </si>
  <si>
    <t>SEER</t>
  </si>
  <si>
    <t>Building Information</t>
  </si>
  <si>
    <t>Year Built</t>
  </si>
  <si>
    <t>Stories</t>
  </si>
  <si>
    <t>Foundation</t>
  </si>
  <si>
    <t>Water Heater Fuel</t>
  </si>
  <si>
    <t>Water Heater Venting</t>
  </si>
  <si>
    <t>Measures</t>
  </si>
  <si>
    <t>Total</t>
  </si>
  <si>
    <t>Role</t>
  </si>
  <si>
    <t>Cost</t>
  </si>
  <si>
    <t>Energy Star ID</t>
  </si>
  <si>
    <t>Crawl Space Wall Insulation</t>
  </si>
  <si>
    <t>Pre CFM50</t>
  </si>
  <si>
    <t>Post CFM50</t>
  </si>
  <si>
    <t>Pre R-value</t>
  </si>
  <si>
    <t>Post R-value</t>
  </si>
  <si>
    <t>Pre Eff</t>
  </si>
  <si>
    <t>Post Eff</t>
  </si>
  <si>
    <t>Room AC ER</t>
  </si>
  <si>
    <t>Authorized Measures</t>
  </si>
  <si>
    <t>Tier Level</t>
  </si>
  <si>
    <t>Tier</t>
  </si>
  <si>
    <t>Max PP</t>
  </si>
  <si>
    <r>
      <t xml:space="preserve"> "</t>
    </r>
    <r>
      <rPr>
        <b/>
        <u/>
        <sz val="11"/>
        <rFont val="Calibri"/>
        <family val="2"/>
        <scheme val="minor"/>
      </rPr>
      <t>Not to exceed</t>
    </r>
    <r>
      <rPr>
        <b/>
        <sz val="11"/>
        <rFont val="Calibri"/>
        <family val="2"/>
        <scheme val="minor"/>
      </rPr>
      <t>" prices. It is not required to charge the full amount if the work can be completed for less.  *Tier 3 does not have "Not to exceed" prices.</t>
    </r>
  </si>
  <si>
    <t>Price*</t>
  </si>
  <si>
    <t>TIER 1 Incentive</t>
  </si>
  <si>
    <t>TIER 2 Incentive</t>
  </si>
  <si>
    <t>TIER 3 Incentive</t>
  </si>
  <si>
    <t>Unit</t>
  </si>
  <si>
    <t>Specifications - Refer to the Available Residential Measures Guide &amp; Building Envelope Field Guide for complete specs.</t>
  </si>
  <si>
    <t>Incentivized Building Envelope Measures</t>
  </si>
  <si>
    <t>Air sealing, general</t>
  </si>
  <si>
    <t>Per CFM</t>
  </si>
  <si>
    <t>Perform air sealing as needed in any portion of the home to reduce air flow.  If the project includes blown attic insulation, then major bypasses in the attic must be air sealed.  The pressure boundary between an attached garage and the home must be air sealed. Air sealing may include but is not limited to attic top plates, chases, registers, vents, boots, plumbing stacks, wiring penetrations, attic accesses of any type, whole-house fans, drop soffits, can lights, bath fans, fireplaces, fireplace chases, balloon framing, windows, doors, and bath tubs.</t>
  </si>
  <si>
    <t>Includes blown cellulose or fiberglass insulation on flat or sloped surfaces of attics that meet program requirements for a financial incentive.  Includes installation of baffles and any needed blocking or dams including but not limited to areas around attic accesses of any type, porches, whole-house fans, metal flues, masonry chimneys, and other high-temperature penetrations.  Flat areas include areas above knee walls and areas behind knee walls.</t>
  </si>
  <si>
    <t>Includes either closed cell spray foam or rigid foam board cut and sealed using either one-part foam or caulk resulting in an R-value of R-12 or greater in open-faced vertical wall cavities, please refer to the Available Residential Measures guide for a complete list of allowable materials.</t>
  </si>
  <si>
    <t>Dense-pack wall insulation</t>
  </si>
  <si>
    <t>Includes cellulose or program approved fiberglass insulation, removal of vinyl siding, drilling holes through sheathing, plugging and caulking holes, and replacement of vinyl siding for a residence with 4" wall framing. Includes same materials for use in vertical knee walls and sloped knee walls with 4" framing.</t>
  </si>
  <si>
    <t>Rim joist insulation and air seal</t>
  </si>
  <si>
    <t>LF</t>
  </si>
  <si>
    <t>Includes either closed cell spray foam or rigid foam board cut and sealed using either one-part foam or caulk resulting in an R-value of R-10 or greater, please refer to the Available Residential Measures guide for a complete list of allowable materials.</t>
  </si>
  <si>
    <t>Crawl space wall insulation</t>
  </si>
  <si>
    <t>Installed according to manufacturers instructions with an R-value of R-10 or greater (Example:  Silvercote or equivalent), please refer to the Available Residential Measures guide for a complete list of allowable materials.</t>
  </si>
  <si>
    <t>Wall height less than 2'</t>
  </si>
  <si>
    <t>Wall height 2' or greater</t>
  </si>
  <si>
    <t>Additional Energy Efficiency Costs</t>
  </si>
  <si>
    <t>Additional Ductwork</t>
  </si>
  <si>
    <t>Per Room</t>
  </si>
  <si>
    <t>Example: Adding a duct run and drops (supply) to 2 new rooms to more evenly distribute conditioned air.</t>
  </si>
  <si>
    <t>Attic ventilation (per 1 SF net free area)</t>
  </si>
  <si>
    <t>Refer to the Building Envelope Field Guide. Section 4.1.6.1</t>
  </si>
  <si>
    <t>Audit Fee</t>
  </si>
  <si>
    <t>Each</t>
  </si>
  <si>
    <t>When a home audit is completed, but does not result in a workscope.</t>
  </si>
  <si>
    <t>BPI Combustion Safety Testing</t>
  </si>
  <si>
    <t>All diagnostic testing needed to comply with BPI 1200 Combustion Appliance Inspection and program guidelines including, but not limited to: test-in, test-out, and any intermediate testing required for a project. Both test-in and test out results must be documented by the program ally using the Energy Audit Diagnostic Test Form.</t>
  </si>
  <si>
    <t>BPI Infiltration and Ventilation Testing</t>
  </si>
  <si>
    <t>All diagnostic testing needed to comply with BPI 1200 Indoor Air Quality and Ventilation and ASHRAE standard 62.2-2016 and program guidelines including, but not limited to: test-in, test-out, and any intermediate blower door and ventilation testing required for a project with building envelope measures. Both test-in and test out results must be documented by the program ally using the Energy Audit Diagnostic Test Form.</t>
  </si>
  <si>
    <t>Cantilever insulate (floor over open outside conditions)</t>
  </si>
  <si>
    <r>
      <t xml:space="preserve">May include dense pack cellulose or program approved fiberglass insulation, spray foam, or rigid foam board. Includes deconstruction and reconstruction if necessary. Area can be incentivized under wall insulation, </t>
    </r>
    <r>
      <rPr>
        <b/>
        <sz val="11"/>
        <color theme="1"/>
        <rFont val="Calibri"/>
        <family val="2"/>
        <scheme val="minor"/>
      </rPr>
      <t>consult with your Field Energy Specialist.</t>
    </r>
  </si>
  <si>
    <t>Combustion Air Inlet</t>
  </si>
  <si>
    <t>Install to prevent or correct combustion safety failure by bringing outside air into the Combustion Appliance Zone, sized as per NFPA 54.</t>
  </si>
  <si>
    <t>Decommission whole-house attic fan</t>
  </si>
  <si>
    <t>Includes safe disconnection and termination of electrical wiring.  Prepares the opening to be air sealed and insulated.  Does not include mud, tape, or finishing.</t>
  </si>
  <si>
    <t>Ductless Air Source Heat Pump "Mini-Split"</t>
  </si>
  <si>
    <r>
      <t xml:space="preserve">Example: 2nd story or room addition where existing HVAC cannot be modified to properly condition living space that is currently under-conditioned. </t>
    </r>
    <r>
      <rPr>
        <b/>
        <sz val="11"/>
        <rFont val="Calibri"/>
        <family val="2"/>
        <scheme val="minor"/>
      </rPr>
      <t>Consult with your Field Energy Specialist for pricing approval.</t>
    </r>
  </si>
  <si>
    <t>Exhaust Fan, Moisture reduction</t>
  </si>
  <si>
    <t>Includes the installation of a new or inoperable exisitng exhaust fan in a bathroom with a shower and/or bathtub with the intent to remove excess moisture from the area.  Includes any necessary electric work.  Does not include drywall or plaster finishing and does not include venting. This measure requires building envelope work to be performed at the residence.</t>
  </si>
  <si>
    <t>Floor insulation dense-pack</t>
  </si>
  <si>
    <r>
      <t>Includes cellulose or fiberglass insulation dense pack under floor to complete the building envelope if the Attic Insulation measure is not possible.  Must separate conditioned space from unconditioned space. Pricing is subject to condition</t>
    </r>
    <r>
      <rPr>
        <b/>
        <sz val="11"/>
        <color theme="1"/>
        <rFont val="Calibri"/>
        <family val="2"/>
        <scheme val="minor"/>
      </rPr>
      <t>. Consult with your Field Energy Specialist for pricing approval.</t>
    </r>
  </si>
  <si>
    <t>Garage Ceiling Insulation</t>
  </si>
  <si>
    <r>
      <t xml:space="preserve">To ensure proper insulation and air barrier between garage and living space above. </t>
    </r>
    <r>
      <rPr>
        <b/>
        <sz val="11"/>
        <rFont val="Calibri"/>
        <family val="2"/>
        <scheme val="minor"/>
      </rPr>
      <t>Consult with your Field Energy Specialist for pricing approval.</t>
    </r>
  </si>
  <si>
    <t>Insulate &amp; Weather-strip vertical attic door</t>
  </si>
  <si>
    <t>Refer to the Building Envelope Field Guide. Section 4.1.5.2.1.</t>
  </si>
  <si>
    <t>Insulate attic pull down stairs</t>
  </si>
  <si>
    <t>Refer to the Building Envelope Field Guide. Section 4.1.5.1</t>
  </si>
  <si>
    <t>Insulate duct work in an unconditioned space</t>
  </si>
  <si>
    <t>For attics and vented crawl space areas (not garages).  Attain R-value of R-8 or greater.</t>
  </si>
  <si>
    <t>Interior Garage Door Replacement</t>
  </si>
  <si>
    <t>To ensure proper air barrier between an attached garage and adjacent living space (where door meets minimum requirements of International Residential Code (IRC)).</t>
  </si>
  <si>
    <t>Interior Wall Drill-and-blow Repair</t>
  </si>
  <si>
    <t>Per Hole</t>
  </si>
  <si>
    <t xml:space="preserve">To properly finish interior wall area where holes are drilled for wall insulation. </t>
  </si>
  <si>
    <t>Prep &amp; Finish Siding (Aluminum or Steel)</t>
  </si>
  <si>
    <r>
      <t xml:space="preserve">Additional Charge used to supplement the Dense-pack wall insulation measure. For drilling through aluminum or steel siding and sheathing as well as plugging and caulking hole. Does not include removal and re-installation of aluminum or steel siding.  When complete, plugs will be visible.  Does not include painting, finishing, or covering of plugs. This item will appear in additional work area of building envelope section with area to be treated. </t>
    </r>
    <r>
      <rPr>
        <i/>
        <sz val="11"/>
        <rFont val="Calibri"/>
        <family val="2"/>
        <scheme val="minor"/>
      </rPr>
      <t>example: Prep &amp; Finish Aluminum Siding (100 SF)</t>
    </r>
  </si>
  <si>
    <t>Prep &amp; Finish Siding (Asbestos or Asphalt)</t>
  </si>
  <si>
    <r>
      <t xml:space="preserve">Additional Charge used to supplement the Dense-pack wall insulation measure. For removal of asbestos or asphalt shingles or siding, drilling holes through sheathing, plugging and caulking holes, and replacement of asbestos or asphalt shingles or siding. Do not drill suspect asbestos siding. Refer to the Suspect ACM White Paper. This item will appear in additional work area of building envelope section with area to be treated. </t>
    </r>
    <r>
      <rPr>
        <i/>
        <sz val="11"/>
        <rFont val="Calibri"/>
        <family val="2"/>
        <scheme val="minor"/>
      </rPr>
      <t>example: Prep &amp; Finish Asphalt Siding (100 SF)</t>
    </r>
  </si>
  <si>
    <t>Prep &amp; Finish Siding (Clapboard or Wood)</t>
  </si>
  <si>
    <r>
      <t xml:space="preserve">Additional Charge used to supplement the Dense-pack wall insulation measure. For drilling through clapboard or wood siding and sheathing as well as plugging and caulking holes.  Does not include removal and re-installation of clapboard or wood siding. This item will appear in additional work area of building envelope section with area to be treated. </t>
    </r>
    <r>
      <rPr>
        <i/>
        <sz val="11"/>
        <rFont val="Calibri"/>
        <family val="2"/>
        <scheme val="minor"/>
      </rPr>
      <t>example: Prep &amp; Finish Wood Siding (100 SF)</t>
    </r>
  </si>
  <si>
    <t>Relocate Water Heater</t>
  </si>
  <si>
    <t>Example: Better position or remove/re-install the water heater when new equipment is installed. To improve water heater venting configuration.</t>
  </si>
  <si>
    <t>Return Ductwork Repair</t>
  </si>
  <si>
    <t>When needed to right-size airflow system to ensure proper functioning of HVAC.</t>
  </si>
  <si>
    <t>Supply Air ventilation solution</t>
  </si>
  <si>
    <t>Includes a supply ventilation solution installed to run demand-controlled and either continuously or intermittently to meet the requirements of ASHRAE 62.2-2016.  Includes any necessary electric work.  Does not include drywall or plaster finishing and does not include venting. Currently accepted solutions: Fresh air cycler - style products tied to a forced air HVAC system  (like AirCycler).</t>
  </si>
  <si>
    <t xml:space="preserve">Transfer grille </t>
  </si>
  <si>
    <r>
      <t xml:space="preserve">To alleviate pressure imbalance(s) associated with reducing depressuration to correct or prevent combustion appliance spillage or drafting concerns. Sized per NFPA 54. </t>
    </r>
    <r>
      <rPr>
        <b/>
        <sz val="11"/>
        <color theme="1"/>
        <rFont val="Calibri"/>
        <family val="2"/>
        <scheme val="minor"/>
      </rPr>
      <t>Consult with your Field Energy Specialist.</t>
    </r>
  </si>
  <si>
    <t>Upgrade Electrical Panel</t>
  </si>
  <si>
    <r>
      <t xml:space="preserve">To accommodate installation of new Air Source Heat Pump or Heat Pump Water Heater. </t>
    </r>
    <r>
      <rPr>
        <b/>
        <sz val="11"/>
        <rFont val="Calibri"/>
        <family val="2"/>
        <scheme val="minor"/>
      </rPr>
      <t>Consult with your Field Energy Specialist for pricing approval.</t>
    </r>
  </si>
  <si>
    <t>Ventilation controls</t>
  </si>
  <si>
    <t>May include wall switches or other controls to operate an existing bathroom exhaust fan in order to meet the requirements of ASHRAE 62.2-2016.  The existing fan must operate at a sound level of 1.0 sone or less.</t>
  </si>
  <si>
    <t>Incentivized HVAC Measures</t>
  </si>
  <si>
    <t>*Tier 3 = Standard Heating &amp; Cooling Offering Incentives</t>
  </si>
  <si>
    <t>up to 40,000 BTU</t>
  </si>
  <si>
    <t>up to 60,000 BTU</t>
  </si>
  <si>
    <t>Up to 80,000 BTU</t>
  </si>
  <si>
    <t>Up to 100,000 BTU</t>
  </si>
  <si>
    <t>Greater than 100,000 BTU</t>
  </si>
  <si>
    <t>90% Natural Gas Boiler</t>
  </si>
  <si>
    <t>Includes properly sized boiler using Manual J and Manual S, 90% AFUE (minimum) and all associated items for change-out installed as per manufacturer's installation instructions.  May include but is not limited to:  re-work of water supply, water piping connections, properly sized circulator pump(s), venting of products of combustion, intake of combustion air from outside the home, electric, gas piping, condensate removal, removal of old equipment, fasteners, screws, brackets, and hangers.</t>
  </si>
  <si>
    <t>Up to 120,000 BTU</t>
  </si>
  <si>
    <t>Greater than 120,000 BTU</t>
  </si>
  <si>
    <t xml:space="preserve">1.5 ton </t>
  </si>
  <si>
    <t>Consult with your distributor</t>
  </si>
  <si>
    <t>2.0 ton</t>
  </si>
  <si>
    <t xml:space="preserve">2.5 ton </t>
  </si>
  <si>
    <t>3.0 ton</t>
  </si>
  <si>
    <t>3.5 ton</t>
  </si>
  <si>
    <t>4.0 ton</t>
  </si>
  <si>
    <t>4.5 ton</t>
  </si>
  <si>
    <t>5.0 ton</t>
  </si>
  <si>
    <t>Installed in new gas furnace</t>
  </si>
  <si>
    <t>BPM (Brushless Permanent Magnet) ECM (Electronically Commutated Motor) Must be documented on AHRI certificate provided for new furnace. Must be part of incentivized furnace replacement.</t>
  </si>
  <si>
    <t>Energy Star Certified Heat Pump Water Heater</t>
  </si>
  <si>
    <t>Less than 50 Gallon</t>
  </si>
  <si>
    <t>50 - 55 Gallon</t>
  </si>
  <si>
    <t>60-65 Gallon</t>
  </si>
  <si>
    <t>Other Sizes</t>
  </si>
  <si>
    <t>Consult with your Field Energy Specialist.</t>
  </si>
  <si>
    <t>Energy Star Certified Room Air Conditioner</t>
  </si>
  <si>
    <t>Less than 8,000 BTU</t>
  </si>
  <si>
    <t>8,000 to 11,999 BTU</t>
  </si>
  <si>
    <t>12,000 BTU or greater</t>
  </si>
  <si>
    <r>
      <t xml:space="preserve">If existing electrical connection doesn't meet manufacturer's installation recommendations and/or local code(s). </t>
    </r>
    <r>
      <rPr>
        <b/>
        <sz val="11"/>
        <color theme="1"/>
        <rFont val="Calibri"/>
        <family val="2"/>
        <scheme val="minor"/>
      </rPr>
      <t>Consult with your Field Energy Specialist.</t>
    </r>
  </si>
  <si>
    <t>Other HVAC Measures</t>
  </si>
  <si>
    <t>Bathroom exhaust fan w/o light</t>
  </si>
  <si>
    <t>Includes an exhaust fan installed to run demand-controlled and either continuously or intermittently to meet the requirements of ASHRAE 62.2-2016.  Includes any necessary electric work.  Does not include drywall or plaster finishing and does not include venting.</t>
  </si>
  <si>
    <t>Bathroom exhaust fan w/light</t>
  </si>
  <si>
    <t>Seal heating system duct work in an unconditioned space</t>
  </si>
  <si>
    <t>Per
Home</t>
  </si>
  <si>
    <t xml:space="preserve">50% or more of heating duct system must be located in un-conditioned space.  All accessible trunks, ducts, plenums, boots, boot to drywall connections to be sealed. </t>
  </si>
  <si>
    <t>Heat Pump Clothes Dryer</t>
  </si>
  <si>
    <t>Induction Cooktop</t>
  </si>
  <si>
    <t xml:space="preserve">May replace an existing propane fueled stovetop. </t>
  </si>
  <si>
    <t>Air Handling Cabinet</t>
  </si>
  <si>
    <r>
      <t xml:space="preserve">For use with Dedicated CAC/Hydro-Air Coils.  No specific program price.  Price will be reviewed for reasonableness on a case-by-case basis. </t>
    </r>
    <r>
      <rPr>
        <b/>
        <sz val="11"/>
        <color theme="1"/>
        <rFont val="Calibri"/>
        <family val="2"/>
        <scheme val="minor"/>
      </rPr>
      <t>Consult with your Field Energy Specialist.</t>
    </r>
  </si>
  <si>
    <t>Solar Powered Attic Fan</t>
  </si>
  <si>
    <t>Consult with your Field Energy Specialist for eligibility and pricing approval.</t>
  </si>
  <si>
    <t>Size</t>
  </si>
  <si>
    <t>Tier 2 Incentive</t>
  </si>
  <si>
    <t>Natural Gas Furnace 95% AFUE (System 1)</t>
  </si>
  <si>
    <t>40,000 BTU or less</t>
  </si>
  <si>
    <t>41,000 to 60,000 BTU</t>
  </si>
  <si>
    <t>61,000 to 80,000 BTU</t>
  </si>
  <si>
    <t>81,000 to 100,000 BTU</t>
  </si>
  <si>
    <t>101,000 to 120,000 BTU</t>
  </si>
  <si>
    <t>Natural Gas Boiler 90% AFUE (System 1)</t>
  </si>
  <si>
    <t>Emergency Furnace</t>
  </si>
  <si>
    <t>table</t>
  </si>
  <si>
    <t>value</t>
  </si>
  <si>
    <t>AMIL #</t>
  </si>
  <si>
    <t>Power Vented Water Heater 
[Energy Star Certified]</t>
  </si>
  <si>
    <t>Heat Pump Water Heater 
[Energy Star Certified]</t>
  </si>
  <si>
    <t>Water Heater 
[Energy Star Certified]</t>
  </si>
  <si>
    <t>Natural Gas Furnace [95% AFUE]</t>
  </si>
  <si>
    <t>Natural Gas Boiler [90% AFUE]</t>
  </si>
  <si>
    <t>Emergency Furnace [95% AFUE]</t>
  </si>
  <si>
    <t>SECTION 4: HEALTH AND SAFETY</t>
  </si>
  <si>
    <t>Service calls &amp; diagnostics</t>
  </si>
  <si>
    <t xml:space="preserve">Repair of primary heating source </t>
  </si>
  <si>
    <t>Repair of primary cooling source</t>
  </si>
  <si>
    <t>Clean indoor evaporator coil</t>
  </si>
  <si>
    <t>Replace indoor evaporator coil</t>
  </si>
  <si>
    <t>Condensate pump (plus related items)</t>
  </si>
  <si>
    <t>Vapor barrier</t>
  </si>
  <si>
    <t>Sump pump repair or replacement</t>
  </si>
  <si>
    <t>New sump system installation (pit, trenching, &amp; drainage tile)</t>
  </si>
  <si>
    <t>Crawlspace dig out - create enough height for accessibility</t>
  </si>
  <si>
    <t>Horizontal guttering</t>
  </si>
  <si>
    <t>Gutter accessories (downspout &amp; extensions)</t>
  </si>
  <si>
    <t xml:space="preserve">Exterior water management </t>
  </si>
  <si>
    <t>Roofing, siding, or other minor exterior work to prevent water from entering building</t>
  </si>
  <si>
    <t>Drain clearing (typically floor)</t>
  </si>
  <si>
    <t>Minor plumbing repair</t>
  </si>
  <si>
    <t>Interior pressure boundary surface (ceilings, walls) repair</t>
  </si>
  <si>
    <t>Removal/replacement of existing un-fit (compromised) insulation</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</si>
  <si>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</si>
  <si>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</si>
  <si>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</si>
  <si>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</si>
  <si>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</si>
  <si>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</si>
  <si>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</si>
  <si>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</si>
  <si>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</si>
  <si>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</si>
  <si>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Asbestos remediation</t>
  </si>
  <si>
    <t>Asbestos encapsulation and enclosure (duct wrap)</t>
  </si>
  <si>
    <t>SECTION 5: FINANCIAL SUMMARY</t>
  </si>
  <si>
    <t>Total Project Cost</t>
  </si>
  <si>
    <t>SECTION 6: RESERVATION REQUEST - CUSTOMER AUTHORIZATION OF PROJECT</t>
  </si>
  <si>
    <t>SECTION 7: INCENTIVE PAYMENT REQUEST - ACKNOWLEDGEMENT OF PROJECT COMPLETION</t>
  </si>
  <si>
    <r>
      <rPr>
        <b/>
        <sz val="8"/>
        <color theme="1"/>
        <rFont val="Calibri"/>
        <family val="2"/>
        <scheme val="minor"/>
      </rPr>
      <t xml:space="preserve">Form Use: </t>
    </r>
    <r>
      <rPr>
        <sz val="8"/>
        <color theme="1"/>
        <rFont val="Calibri"/>
        <family val="2"/>
        <scheme val="minor"/>
      </rPr>
      <t xml:space="preserve">This form is to be used to submit reservation requests and incentive payment requests.
</t>
    </r>
    <r>
      <rPr>
        <b/>
        <sz val="8"/>
        <color theme="1"/>
        <rFont val="Calibri"/>
        <family val="2"/>
        <scheme val="minor"/>
      </rPr>
      <t>Sections 1-4:</t>
    </r>
    <r>
      <rPr>
        <sz val="8"/>
        <color theme="1"/>
        <rFont val="Calibri"/>
        <family val="2"/>
        <scheme val="minor"/>
      </rPr>
      <t xml:space="preserve"> Used to specify proposed work scope, and upon approval, reserve program incentives for a period of 30 days.
</t>
    </r>
    <r>
      <rPr>
        <b/>
        <sz val="8"/>
        <color theme="1"/>
        <rFont val="Calibri"/>
        <family val="2"/>
        <scheme val="minor"/>
      </rPr>
      <t>Please note:</t>
    </r>
    <r>
      <rPr>
        <sz val="8"/>
        <color theme="1"/>
        <rFont val="Calibri"/>
        <family val="2"/>
        <scheme val="minor"/>
      </rPr>
      <t xml:space="preserve"> All approved customers will have received a confirmation number via email indicating that they are eligible for Program Incentives.</t>
    </r>
  </si>
  <si>
    <t>Project Number</t>
  </si>
  <si>
    <t>Print Customer Name</t>
  </si>
  <si>
    <t>Qty</t>
  </si>
  <si>
    <t xml:space="preserve">This is the scope of work for the resident at </t>
  </si>
  <si>
    <t>Pre-install 
R-value</t>
  </si>
  <si>
    <t>CUSTOMER AND PROGRAM ALLY INFORMATION</t>
  </si>
  <si>
    <t>Project ID:</t>
  </si>
  <si>
    <t>Date:</t>
  </si>
  <si>
    <t>Employee Name:</t>
  </si>
  <si>
    <t>Not Applicable</t>
  </si>
  <si>
    <t>ANCILLARY COSTS INFORMATION</t>
  </si>
  <si>
    <t>General Notes:</t>
  </si>
  <si>
    <t>I, the undersigned, understand all of the costs associated with the additional items listed above. I understand that these costs are my responsibility to pay and I am comfortable with this total out of pocket cost.</t>
  </si>
  <si>
    <t>Print Customer Name:</t>
  </si>
  <si>
    <t>Customer Signature:</t>
  </si>
  <si>
    <t>Program Ally Signature:</t>
  </si>
  <si>
    <t>Ancillary costs are any customer costs resulting from the customer’s participation in the HEIQ Program that are not otherwise documented within the HEIQ Program scope of work.
Please complete all required information and submit this form as an attachment to the Reservation Request</t>
  </si>
  <si>
    <t>Street Address:</t>
  </si>
  <si>
    <t>Ally Name:</t>
  </si>
  <si>
    <t>Check the box if there are no additional costs not otherwise documented in the HEIQ workbook</t>
  </si>
  <si>
    <t>Additional Items</t>
  </si>
  <si>
    <t>Heating Capacity 
(Btuh or KwH)</t>
  </si>
  <si>
    <t>Bonus Acknowledgement Form</t>
  </si>
  <si>
    <t>I understand that there is a customer bonus (up to $1,000) available to me for this Home Efficiency Income Qualified Offering project, courtesy of Warm Neighbors Cool Friends. I am signing below to acknowledge that I would not be able to participate in this Offering without this bonus applied to my project, as this bonus is critical to allowing me to pay for the out-of-pocket costs related to the project.</t>
  </si>
  <si>
    <t>Total Out-of-Pocket Project Cost:</t>
  </si>
  <si>
    <t>Final Customer Out-of-Pocket Cost:</t>
  </si>
  <si>
    <t xml:space="preserve">Ameren Illinois Project Number: </t>
  </si>
  <si>
    <r>
      <t xml:space="preserve">Warm Neighbors Cool Friends Bonus:               </t>
    </r>
    <r>
      <rPr>
        <b/>
        <sz val="11"/>
        <color theme="1"/>
        <rFont val="Calibri"/>
        <family val="2"/>
        <scheme val="minor"/>
      </rPr>
      <t>-</t>
    </r>
  </si>
  <si>
    <t>Total Project Bonus</t>
  </si>
  <si>
    <t xml:space="preserve">Date: </t>
  </si>
  <si>
    <t xml:space="preserve">Customer Signature: </t>
  </si>
  <si>
    <t>Details of additional items</t>
  </si>
  <si>
    <t>SIGNATURES</t>
  </si>
  <si>
    <t>Incentive</t>
  </si>
  <si>
    <t>kWh</t>
  </si>
  <si>
    <t>therms</t>
  </si>
  <si>
    <t>BPM Motor System 1</t>
  </si>
  <si>
    <t>BPM Motor System 2</t>
  </si>
  <si>
    <t>Measures - Gas</t>
  </si>
  <si>
    <t>Measures - Electric</t>
  </si>
  <si>
    <t>Heat Pump Water Heater*</t>
  </si>
  <si>
    <t>Power Vented Water Heater**</t>
  </si>
  <si>
    <t>*HPWH kWh savings is the average of savings from PY20-PY23</t>
  </si>
  <si>
    <t>X</t>
  </si>
  <si>
    <t>Existing Thermostat</t>
  </si>
  <si>
    <t>Existing Water Heater</t>
  </si>
  <si>
    <t>Attic R19 savings is the average of savings from our actual project data</t>
  </si>
  <si>
    <t>Ally A</t>
  </si>
  <si>
    <t>Ally B</t>
  </si>
  <si>
    <t>Additional Energy Efficiency Cost Breakdown Tier 2</t>
  </si>
  <si>
    <t>INCENTIVE</t>
  </si>
  <si>
    <t>QTY</t>
  </si>
  <si>
    <t>CUSTOMER COST</t>
  </si>
  <si>
    <t>Health and Safety Totals</t>
  </si>
  <si>
    <t>Additional Energy Efficiency Totals</t>
  </si>
  <si>
    <t>**PVWH therms savings is the average of savings in PY23</t>
  </si>
  <si>
    <t xml:space="preserve"> </t>
  </si>
  <si>
    <t>**annual savings only</t>
  </si>
  <si>
    <t>**project cost only</t>
  </si>
  <si>
    <t>Project Evaluation Score</t>
  </si>
  <si>
    <t>Savings</t>
  </si>
  <si>
    <t>Total HVAC</t>
  </si>
  <si>
    <t>Total BE</t>
  </si>
  <si>
    <t>BE Gas</t>
  </si>
  <si>
    <t>BE Electric</t>
  </si>
  <si>
    <t>Final Project Score</t>
  </si>
  <si>
    <t>Total Savings</t>
  </si>
  <si>
    <t>Measure Cost</t>
  </si>
  <si>
    <t>Cost/savings</t>
  </si>
  <si>
    <t>therms x 29.3</t>
  </si>
  <si>
    <t>Therms conversion to kWh</t>
  </si>
  <si>
    <t>Total Cost</t>
  </si>
  <si>
    <t>Total Incentive</t>
  </si>
  <si>
    <t>Mftr</t>
  </si>
  <si>
    <t>TR Project Score Review</t>
  </si>
  <si>
    <t>Thermostat Type</t>
  </si>
  <si>
    <t>Ancillary Costs</t>
  </si>
  <si>
    <t>Program Ally "A"</t>
  </si>
  <si>
    <t>Program Ally "B"</t>
  </si>
  <si>
    <t>TR Price Check</t>
  </si>
  <si>
    <t>Measure Details</t>
  </si>
  <si>
    <t>Description</t>
  </si>
  <si>
    <t>Cooling Capacity</t>
  </si>
  <si>
    <t>Heating Capacity</t>
  </si>
  <si>
    <t>TOTAL</t>
  </si>
  <si>
    <t>Central Air Conditioner</t>
  </si>
  <si>
    <r>
      <t>Type</t>
    </r>
    <r>
      <rPr>
        <b/>
        <sz val="11"/>
        <color rgb="FFFF0000"/>
        <rFont val="Calibri"/>
        <family val="2"/>
        <scheme val="minor"/>
      </rPr>
      <t>*</t>
    </r>
  </si>
  <si>
    <r>
      <t>AFUE</t>
    </r>
    <r>
      <rPr>
        <b/>
        <sz val="11"/>
        <color rgb="FFFF0000"/>
        <rFont val="Calibri"/>
        <family val="2"/>
        <scheme val="minor"/>
      </rPr>
      <t>**</t>
    </r>
  </si>
  <si>
    <r>
      <t>Capacity</t>
    </r>
    <r>
      <rPr>
        <b/>
        <sz val="11"/>
        <color rgb="FFFF0000"/>
        <rFont val="Calibri"/>
        <family val="2"/>
        <scheme val="minor"/>
      </rPr>
      <t>**</t>
    </r>
  </si>
  <si>
    <r>
      <t>SEER</t>
    </r>
    <r>
      <rPr>
        <b/>
        <sz val="11"/>
        <color rgb="FFFF0000"/>
        <rFont val="Calibri"/>
        <family val="2"/>
        <scheme val="minor"/>
      </rPr>
      <t>**</t>
    </r>
  </si>
  <si>
    <r>
      <rPr>
        <b/>
        <sz val="11"/>
        <color rgb="FFFF0000"/>
        <rFont val="Calibri"/>
        <family val="2"/>
        <scheme val="minor"/>
      </rPr>
      <t>*</t>
    </r>
    <r>
      <rPr>
        <sz val="11"/>
        <color theme="1"/>
        <rFont val="Calibri"/>
        <family val="2"/>
        <scheme val="minor"/>
      </rPr>
      <t xml:space="preserve"> heating and cooling type must be entered, use "None" for cooling if none exists</t>
    </r>
  </si>
  <si>
    <t>TR Notes</t>
  </si>
  <si>
    <t>Data Entry Notes</t>
  </si>
  <si>
    <t>Application Instructions:</t>
  </si>
  <si>
    <t>Central AC 
[SEER2 15.2/EER2 11.88 or greater]</t>
  </si>
  <si>
    <t>Air Source Heat Pump 
[SEER2 15.2/HSPF2 8.1 or greater]</t>
  </si>
  <si>
    <t>Program Qualified Products:</t>
  </si>
  <si>
    <t>ENERGY STAR Certified Smart Thermostats</t>
  </si>
  <si>
    <t>Enter the 7 digit ENERGY STAR Unique ID number listed in the product details</t>
  </si>
  <si>
    <t>LINK</t>
  </si>
  <si>
    <t>Propane Furnace</t>
  </si>
  <si>
    <t>Propane Boiler</t>
  </si>
  <si>
    <t>SECTION 1: ELECTRIFICATION MEASURE INFORMATION</t>
  </si>
  <si>
    <t>SECTION 2: ADDITIONAL ENERGY EFFICIENCY COST</t>
  </si>
  <si>
    <t>Heat Pump Clothes Dryer
[Energy Star Certified]</t>
  </si>
  <si>
    <t>Air Source Heat Pump
[SEER2 15.2/HSPF2 8.1 or greater]</t>
  </si>
  <si>
    <t>Ductless Air Source Heat Pump
[SEER2 15.2/HSPF2 8.55 or greater]</t>
  </si>
  <si>
    <t>Electrification Measure Totals</t>
  </si>
  <si>
    <t>Total Customer Cost</t>
  </si>
  <si>
    <t>SECTION 3: HEALTH AND SAFETY</t>
  </si>
  <si>
    <t>SECTION 4: FINANCIAL SUMMARY</t>
  </si>
  <si>
    <t>SECTION 5: RESERVATION REQUEST - CUSTOMER AUTHORIZATION OF PROJECT</t>
  </si>
  <si>
    <t>SECTION 6: INCENTIVE PAYMENT REQUEST - ACKNOWLEDGEMENT OF PROJECT COMPLETION</t>
  </si>
  <si>
    <t>Additonal Energy Efficiency Cost Electrification tab</t>
  </si>
  <si>
    <t>Reservation Request - Supporting Documentation Checklist</t>
  </si>
  <si>
    <t>• ACCA Approved Building Load Calculation Based on Improved (Post Retrofit) Home</t>
  </si>
  <si>
    <t>• Energy Audit Test Form</t>
  </si>
  <si>
    <t>• AHRI Certificates for All Applicable Equipment</t>
  </si>
  <si>
    <t>Incentive Payment Request - Project Completion Supporting Documentation Checklist</t>
  </si>
  <si>
    <t>ENERGY STAR Certified Room Air Conditioner</t>
  </si>
  <si>
    <t>TR Forms Check</t>
  </si>
  <si>
    <t>Ancillary Costs Form</t>
  </si>
  <si>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</si>
  <si>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</si>
  <si>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</si>
  <si>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H&amp;S Item Description</t>
  </si>
  <si>
    <t>Before Project</t>
  </si>
  <si>
    <t>During Project</t>
  </si>
  <si>
    <t>Before or During Project</t>
  </si>
  <si>
    <t>HVAC System Repair &amp; Replacement - Un-safe operating condition or non-working system</t>
  </si>
  <si>
    <t>*</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</si>
  <si>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</si>
  <si>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Y</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</si>
  <si>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</si>
  <si>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</si>
  <si>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</si>
  <si>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Condensate Pump (Plus related items)</t>
  </si>
  <si>
    <t xml:space="preserve">Correct or prevent water damage issues resulting from improper condensate removal. </t>
  </si>
  <si>
    <t>Disclaimer Related</t>
  </si>
  <si>
    <t>Bulk Moisture - Leads to many issues including but not limited to: mold, degradation of building materials, &amp; IAQ concerns.</t>
  </si>
  <si>
    <t>Vapor Barrier</t>
  </si>
  <si>
    <t>Square foot</t>
  </si>
  <si>
    <t>Prevent communication of ground moisture into building envelope and/or onto building components.</t>
  </si>
  <si>
    <t xml:space="preserve">Correct or prevent water accumulation within the building envelope. </t>
  </si>
  <si>
    <t>Each/Per Square Foot</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</si>
  <si>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</si>
  <si>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</si>
  <si>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</si>
  <si>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</si>
  <si>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Water heater repair</t>
  </si>
  <si>
    <t>Each/ Case by Case</t>
  </si>
  <si>
    <t>Correct and/or prevent water related damage to building components.</t>
  </si>
  <si>
    <t>Water heater replacement</t>
  </si>
  <si>
    <t xml:space="preserve">Correct and/or prevent water related damage to building components. Correct an un-safe operating condition or consider when the cost of the initial or multiple repairs are substantially close to replacement cost. </t>
  </si>
  <si>
    <t>Encapsulation and Enclosure (Duct Wrap)</t>
  </si>
  <si>
    <t>Each (or each joint)</t>
  </si>
  <si>
    <t>Address friable suspect asbestos that could be disturbed during the course of a project. Friable asbestos is known to cause respiratory issues and is a carcinogen.</t>
  </si>
  <si>
    <t>Remediation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</si>
  <si>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</si>
  <si>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</si>
  <si>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</si>
  <si>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</si>
  <si>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</si>
  <si>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</si>
  <si>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</si>
  <si>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Venting system repair &amp; replacement</t>
  </si>
  <si>
    <t>Correct an un-safe operating condition. Ensure combustion appliance exhaust is properly vented outside.</t>
  </si>
  <si>
    <t>Flue Liner</t>
  </si>
  <si>
    <t>Draft assist &amp; power venting kits</t>
  </si>
  <si>
    <t>Service Calls &amp; diagnostics</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</si>
  <si>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</si>
  <si>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</si>
  <si>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</si>
  <si>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</si>
  <si>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</si>
  <si>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</si>
  <si>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Combustion Safety Testing (non project)</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</si>
  <si>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</si>
  <si>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</si>
  <si>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</si>
  <si>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Carbon Monoxide Alarms</t>
  </si>
  <si>
    <t>Provides assurance that customers will be alerted to hazardous CO levels on an on-going basis.</t>
  </si>
  <si>
    <t>Ventilation Related</t>
  </si>
  <si>
    <t>* Consult with your Field Energy Specialist for pricing approval.</t>
  </si>
  <si>
    <t>Revised 5/24/2022</t>
  </si>
  <si>
    <t>Remove moisture and indoor air contaminants from the home. Termination of fan vent must penetrate gable-end or roof. Terminating an exhaust fan vent duct at or near roof or gable vents is not permissible.</t>
  </si>
  <si>
    <t>Existing</t>
  </si>
  <si>
    <t>Includes properly sized furnace using Manual J and Manual S, 95% AFUE (minimum) and all associated items for change-out installed as per manufacturer's installation instructions. Must be equipped with a high efficiency blower motor, BPM (Brushless Permanent Magnet) ECM (Electronically Commutated Motor) and must be documented on AHRI certificate provided for new furnace. May include, but is not limited to:  re-work of supply plenum, re-work of return drop, re-work of filter cabinet, filter slot cover, air handler, properly sized blower and motor, venting of products of combustion, intake of combustion air from outside the home, condensate removal, electric, gas piping, removal of old equipment, fasteners, screws, brackets, and hangers.</t>
  </si>
  <si>
    <t>95% Natural Gas Furnace with High Efficiency Blower Motor</t>
  </si>
  <si>
    <t>AMEREN ILLINOIS ENERGY EFFICIENCY PROGRAM</t>
  </si>
  <si>
    <t>SECTION 3: EXISTING CONDITIONING EQUIPMENT INFORMATION</t>
  </si>
  <si>
    <t xml:space="preserve"> This is the scope of work for the resident at </t>
  </si>
  <si>
    <t xml:space="preserve"> The project will be completed by</t>
  </si>
  <si>
    <t>Crawl Space Wall Insulation &lt;= 2'</t>
  </si>
  <si>
    <t>Venting System Repair &amp; Replacement</t>
  </si>
  <si>
    <t>HEIQ Duct Sealing Specification:</t>
  </si>
  <si>
    <t>*Score of &gt; 1 or &lt;= 2 - project may need further clarification/analysis</t>
  </si>
  <si>
    <t>*Score of &gt; 2 - will require special consideration and elevated approval</t>
  </si>
  <si>
    <t>highlighted fields must be entered in Amplify</t>
  </si>
  <si>
    <t>• Supporting Photographs, Diagrams, or Notes</t>
  </si>
  <si>
    <t xml:space="preserve">• Signed and dated customer contract and any authorized change orders clearly indicating scope and value of work, including </t>
  </si>
  <si>
    <t xml:space="preserve">   Ameren Illinois incentives</t>
  </si>
  <si>
    <t xml:space="preserve">• Customer invoice clearly listing the measures, quantity, cost, incentive with phrase “Ameren Illinois Energy Efficiency Program </t>
  </si>
  <si>
    <t xml:space="preserve">   Incentive”, manufacturer and model number of equipment, total project cost, and total customer out of pocket</t>
  </si>
  <si>
    <t>Percentage of Wall at Existing R-value</t>
  </si>
  <si>
    <t>Energy Audit Inspection Disclaimers</t>
  </si>
  <si>
    <t>Address:</t>
  </si>
  <si>
    <t>City:</t>
  </si>
  <si>
    <t>Zip Code:</t>
  </si>
  <si>
    <t xml:space="preserve">     ASBESTOS</t>
  </si>
  <si>
    <t>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</si>
  <si>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</si>
  <si>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Vermiculite</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</si>
  <si>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</si>
  <si>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</si>
  <si>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</si>
  <si>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</si>
  <si>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</si>
  <si>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</si>
  <si>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</si>
  <si>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</si>
  <si>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</si>
  <si>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</si>
  <si>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</si>
  <si>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</si>
  <si>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</si>
  <si>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</si>
  <si>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</si>
  <si>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</si>
  <si>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</si>
  <si>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</si>
  <si>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</si>
  <si>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</si>
  <si>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</si>
  <si>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</si>
  <si>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</si>
  <si>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</si>
  <si>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</si>
  <si>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</si>
  <si>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</si>
  <si>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</si>
  <si>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</si>
  <si>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</si>
  <si>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</si>
  <si>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</si>
  <si>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</si>
  <si>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</si>
  <si>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</si>
  <si>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</si>
  <si>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</si>
  <si>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</si>
  <si>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</si>
  <si>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</si>
  <si>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</si>
  <si>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</si>
  <si>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</si>
  <si>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</si>
  <si>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</si>
  <si>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</si>
  <si>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</si>
  <si>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</si>
  <si>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</si>
  <si>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</si>
  <si>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</si>
  <si>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</si>
  <si>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</si>
  <si>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</si>
  <si>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</si>
  <si>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</si>
  <si>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Energy Audit Diagnostic Test Form</t>
  </si>
  <si>
    <t>Section 1:  Project Identification</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</si>
  <si>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</si>
  <si>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</si>
  <si>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</si>
  <si>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</si>
  <si>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</si>
  <si>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</si>
  <si>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</si>
  <si>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</si>
  <si>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</si>
  <si>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</si>
  <si>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</si>
  <si>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</si>
  <si>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</si>
  <si>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</si>
  <si>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</si>
  <si>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</si>
  <si>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</si>
  <si>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</si>
  <si>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</si>
  <si>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</si>
  <si>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</si>
  <si>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</si>
  <si>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</si>
  <si>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</si>
  <si>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</si>
  <si>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</si>
  <si>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</si>
  <si>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</si>
  <si>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</si>
  <si>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</si>
  <si>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</si>
  <si>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</si>
  <si>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</si>
  <si>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</si>
  <si>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</si>
  <si>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</si>
  <si>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</si>
  <si>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</si>
  <si>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</si>
  <si>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</si>
  <si>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</si>
  <si>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</si>
  <si>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</si>
  <si>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</si>
  <si>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</si>
  <si>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</si>
  <si>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</si>
  <si>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</si>
  <si>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</si>
  <si>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</si>
  <si>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</si>
  <si>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</si>
  <si>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</si>
  <si>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</si>
  <si>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</si>
  <si>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</si>
  <si>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</si>
  <si>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</si>
  <si>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</si>
  <si>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</si>
  <si>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</si>
  <si>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</si>
  <si>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</si>
  <si>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</si>
  <si>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</si>
  <si>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</si>
  <si>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</si>
  <si>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</si>
  <si>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</si>
  <si>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</si>
  <si>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</si>
  <si>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</si>
  <si>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</si>
  <si>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</si>
  <si>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</si>
  <si>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</si>
  <si>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</si>
  <si>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</si>
  <si>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</si>
  <si>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</si>
  <si>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</si>
  <si>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</si>
  <si>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</si>
  <si>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</si>
  <si>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</si>
  <si>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</si>
  <si>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</si>
  <si>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</si>
  <si>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</si>
  <si>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</si>
  <si>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</si>
  <si>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</si>
  <si>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</si>
  <si>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</si>
  <si>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</si>
  <si>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</si>
  <si>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</si>
  <si>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</si>
  <si>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</si>
  <si>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</si>
  <si>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</si>
  <si>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</si>
  <si>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</si>
  <si>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</si>
  <si>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</si>
  <si>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</si>
  <si>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</si>
  <si>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</si>
  <si>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</si>
  <si>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</si>
  <si>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</si>
  <si>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</si>
  <si>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</si>
  <si>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</si>
  <si>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</si>
  <si>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</si>
  <si>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</si>
  <si>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</si>
  <si>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</si>
  <si>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</si>
  <si>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</si>
  <si>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</si>
  <si>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</si>
  <si>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</si>
  <si>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</si>
  <si>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</si>
  <si>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</si>
  <si>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</si>
  <si>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</si>
  <si>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</si>
  <si>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</si>
  <si>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</si>
  <si>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</si>
  <si>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</si>
  <si>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</si>
  <si>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</si>
  <si>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</si>
  <si>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</si>
  <si>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</si>
  <si>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</si>
  <si>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</si>
  <si>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</si>
  <si>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</si>
  <si>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</si>
  <si>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</si>
  <si>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</si>
  <si>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</si>
  <si>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</si>
  <si>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</si>
  <si>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</si>
  <si>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</si>
  <si>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</si>
  <si>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</si>
  <si>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</si>
  <si>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</si>
  <si>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</si>
  <si>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</si>
  <si>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</si>
  <si>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</si>
  <si>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</si>
  <si>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</si>
  <si>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</si>
  <si>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</si>
  <si>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</si>
  <si>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</si>
  <si>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</si>
  <si>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</si>
  <si>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</si>
  <si>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</si>
  <si>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</si>
  <si>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</si>
  <si>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</si>
  <si>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</si>
  <si>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</si>
  <si>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</si>
  <si>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</si>
  <si>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</si>
  <si>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</si>
  <si>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</si>
  <si>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</si>
  <si>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</si>
  <si>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</si>
  <si>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</si>
  <si>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</si>
  <si>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t>Project Number:</t>
  </si>
  <si>
    <t>Assessment Date:</t>
  </si>
  <si>
    <t xml:space="preserve">    SECTION 2.1: INSPECTION INFORMATION (Check all applicable areas)</t>
  </si>
  <si>
    <t xml:space="preserve">    SECTION 1: PROJECT INFORMATION</t>
  </si>
  <si>
    <t xml:space="preserve">    SECTION 2.2: INSPECTION INFORMATION (Check all applicable areas)</t>
  </si>
  <si>
    <t xml:space="preserve">    SECTION 2.3: INSPECTION INFORMATION (Check all applicable areas)</t>
  </si>
  <si>
    <t xml:space="preserve">    SECTION 3: PROOF OF REMEDIATION</t>
  </si>
  <si>
    <t>Please complete all required information and submit this form as an attachment to the Reservation and Incentive Application.</t>
  </si>
  <si>
    <t>Ameren Illinois Energy Efficiency Program</t>
  </si>
  <si>
    <t/>
  </si>
  <si>
    <t>Ally Project Notes</t>
  </si>
  <si>
    <t>A. Information entered on this tab will populate fields on all other tabs.</t>
  </si>
  <si>
    <t xml:space="preserve">B. Check Gas Account/Electric Account depending on the account details. </t>
  </si>
  <si>
    <t>1. Begin by completing Sections 1-4 on the Project Information tab and enter all fields highlighted in yellow.</t>
  </si>
  <si>
    <t xml:space="preserve"> Customer Printed Name: </t>
  </si>
  <si>
    <t>Reference the Available Residential Measures Guide for specifications for program measures.</t>
  </si>
  <si>
    <t>per LF</t>
  </si>
  <si>
    <r>
      <rPr>
        <b/>
        <sz val="10"/>
        <color rgb="FF439539"/>
        <rFont val="Calibri"/>
        <family val="2"/>
      </rPr>
      <t>*</t>
    </r>
    <r>
      <rPr>
        <b/>
        <sz val="10"/>
        <color rgb="FF439539"/>
        <rFont val="Calibri"/>
        <family val="2"/>
        <scheme val="minor"/>
      </rPr>
      <t>Score of 1 or less - great project, likely to be approved without further clarifications needed</t>
    </r>
  </si>
  <si>
    <t>2. On the Work Scope tab, enter ally assigned, measure quantity, cost, and details. All fields must be entered for each measure.</t>
  </si>
  <si>
    <t xml:space="preserve">D. Any notes regarding the home, measures, additional energy efficiency costs, or health and safety costs explanations should be </t>
  </si>
  <si>
    <t xml:space="preserve">     entered in Section 4, Project Notes.</t>
  </si>
  <si>
    <t>Wall Height
Above Ground</t>
  </si>
  <si>
    <t>Wall Height
Below Ground</t>
  </si>
  <si>
    <r>
      <rPr>
        <b/>
        <sz val="10"/>
        <color theme="1"/>
        <rFont val="Calibri"/>
        <family val="2"/>
        <scheme val="minor"/>
      </rPr>
      <t>Tip 4:</t>
    </r>
    <r>
      <rPr>
        <sz val="10"/>
        <color theme="1"/>
        <rFont val="Calibri"/>
        <family val="2"/>
        <scheme val="minor"/>
      </rPr>
      <t xml:space="preserve"> The ENERGY STAR ID information can be found by looking up the manufacturer and model number here:</t>
    </r>
  </si>
  <si>
    <t>C. Tier level and the homeowner high need qualifier must be entered for fields on the Work Scope tab to function.</t>
  </si>
  <si>
    <t>A. When entering measure information, cells that must be completed have a gray fill:</t>
  </si>
  <si>
    <t xml:space="preserve">     The cells will remain highlighted when an entry is made, so it is easily identifiable if editing is required.</t>
  </si>
  <si>
    <r>
      <rPr>
        <b/>
        <sz val="10"/>
        <color theme="1"/>
        <rFont val="Calibri"/>
        <family val="2"/>
        <scheme val="minor"/>
      </rPr>
      <t>Tip 1:</t>
    </r>
    <r>
      <rPr>
        <sz val="10"/>
        <color theme="1"/>
        <rFont val="Calibri"/>
        <family val="2"/>
        <scheme val="minor"/>
      </rPr>
      <t xml:space="preserve"> A red flag in the top right corner of a cell means a selection must be made from the drop down box.</t>
    </r>
  </si>
  <si>
    <r>
      <rPr>
        <b/>
        <sz val="10"/>
        <color theme="1"/>
        <rFont val="Calibri"/>
        <family val="2"/>
        <scheme val="minor"/>
      </rPr>
      <t>Tip 2:</t>
    </r>
    <r>
      <rPr>
        <sz val="10"/>
        <color theme="1"/>
        <rFont val="Calibri"/>
        <family val="2"/>
        <scheme val="minor"/>
      </rPr>
      <t xml:space="preserve"> Hover your cursor over a field with a red flag for a pop-up note with information.</t>
    </r>
  </si>
  <si>
    <r>
      <rPr>
        <b/>
        <sz val="10"/>
        <color theme="1"/>
        <rFont val="Calibri"/>
        <family val="2"/>
        <scheme val="minor"/>
      </rPr>
      <t>Tip 3:</t>
    </r>
    <r>
      <rPr>
        <sz val="10"/>
        <color theme="1"/>
        <rFont val="Calibri"/>
        <family val="2"/>
        <scheme val="minor"/>
      </rPr>
      <t xml:space="preserve"> Assign either ally A or B to a measure. The Ally field will highlight bright yellow if an entry is needed.</t>
    </r>
  </si>
  <si>
    <t xml:space="preserve">B. Section 3, Additional Energy Efficiency Cost Measure: Any measure required to complete an energy efficiency measure that is </t>
  </si>
  <si>
    <t xml:space="preserve">     not already classified as health &amp; safety.</t>
  </si>
  <si>
    <t>C. Project Evaluation Score details:</t>
  </si>
  <si>
    <t>3. Any ancillary costs need to be disclosed on the Ancillary Costs tab and signed by the applicant and ally.</t>
  </si>
  <si>
    <t>4. For Tier 2 applicants, the WNCF form must be completed and signed by the applicant.</t>
  </si>
  <si>
    <t>Warning: All fields MUST be entered for the workbook to work.</t>
  </si>
  <si>
    <t>6. Both the signed application and excel application are required at reservation and incentive approval.</t>
  </si>
  <si>
    <t>5. Name the application files in this format: AMIL000XXXXXXX.Reservation.Date or AMIL000XXXXXXX.Incentive.Date</t>
  </si>
  <si>
    <t>Revisions</t>
  </si>
  <si>
    <t>Update to BPM motor sales price/cost to populate $0 if box is not checked on application</t>
  </si>
  <si>
    <t xml:space="preserve"> AMEREN ILLINOIS ENERGY EFFICIENCY PROGRAM</t>
  </si>
  <si>
    <t xml:space="preserve"> Residential Single-Family Project Test Form</t>
  </si>
  <si>
    <t xml:space="preserve"> SECTION 1: PROJECT INFORMATION</t>
  </si>
  <si>
    <t xml:space="preserve"> SECTION 2: PRE-WORK PROJECT TESTING</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</si>
  <si>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</si>
  <si>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</si>
  <si>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</si>
  <si>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</si>
  <si>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</si>
  <si>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</si>
  <si>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</si>
  <si>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</si>
  <si>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Resolved per Program requirements</t>
  </si>
  <si>
    <t>Spillage and CO Testing (as per BPI-1200 7.9.2 through 7.9.4)</t>
  </si>
  <si>
    <t>Water Heater Spillage:</t>
  </si>
  <si>
    <t>Water Heater Air-Free CO:</t>
  </si>
  <si>
    <t>Heating Spillage:</t>
  </si>
  <si>
    <t>Heating Air-Free CO:</t>
  </si>
  <si>
    <t>Ameren Illinois Gas Operations</t>
  </si>
  <si>
    <t>800-755-5000</t>
  </si>
  <si>
    <t>Oven CO:</t>
  </si>
  <si>
    <t>Ventilation Requirements (ASHRAE 62.2-2016)</t>
  </si>
  <si>
    <t>Measured</t>
  </si>
  <si>
    <t>Window Credit (Y/N)</t>
  </si>
  <si>
    <t>Bathroom #1 flow rate (CFM)</t>
  </si>
  <si>
    <t>Proposed Ventilation Strategy</t>
  </si>
  <si>
    <t>Bathroom #2 flow rate (CFM)</t>
  </si>
  <si>
    <t>Variable flow fan adjusted on site</t>
  </si>
  <si>
    <t>Bathroom #3 flow rate (CFM)</t>
  </si>
  <si>
    <t>One speed fan with timer (exisiting or new)</t>
  </si>
  <si>
    <t>Bathroom #4 flow rate (CFM)</t>
  </si>
  <si>
    <t>Air cycler-style</t>
  </si>
  <si>
    <t>Half-Bath #5 flow rate (CFM)</t>
  </si>
  <si>
    <t>Recovery Ventilator</t>
  </si>
  <si>
    <t>Kitchen # 1 flow rate (CFM)</t>
  </si>
  <si>
    <t>Natural</t>
  </si>
  <si>
    <t>Kitchen # 2 flow rate (CFM)</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</si>
  <si>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</si>
  <si>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</si>
  <si>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</si>
  <si>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</si>
  <si>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</si>
  <si>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</si>
  <si>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</si>
  <si>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</si>
  <si>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</si>
  <si>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 SECTION 3: POST-WORK PROJECT TESTING</t>
  </si>
  <si>
    <t>Utilized Ventilation Strategy</t>
  </si>
  <si>
    <t>Select one rate below</t>
  </si>
  <si>
    <t>Continuous Ventilation Rate (CFM)</t>
  </si>
  <si>
    <t>Intermittent Ventilation Rate (CFM)</t>
  </si>
  <si>
    <t>Timer Set Point (min/hour)</t>
  </si>
  <si>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</si>
  <si>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</si>
  <si>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</si>
  <si>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</si>
  <si>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</si>
  <si>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</si>
  <si>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</si>
  <si>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</si>
  <si>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</si>
  <si>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</si>
  <si>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</si>
  <si>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</si>
  <si>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</si>
  <si>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</si>
  <si>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</si>
  <si>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</si>
  <si>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</si>
  <si>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</si>
  <si>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</si>
  <si>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</si>
  <si>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</si>
  <si>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</si>
  <si>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</si>
  <si>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</si>
  <si>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</si>
  <si>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</si>
  <si>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</si>
  <si>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</si>
  <si>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</si>
  <si>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Yes</t>
  </si>
  <si>
    <t>No</t>
  </si>
  <si>
    <t>Pass</t>
  </si>
  <si>
    <t>Fail</t>
  </si>
  <si>
    <t xml:space="preserve"> Visual Inspection of CAZ (as per BPI-1200 7.7):</t>
  </si>
  <si>
    <t>If any portion of the combustion appliance and fuel distribution system inspection did not</t>
  </si>
  <si>
    <t>meet BPI-1200 standards, describe actions taken:</t>
  </si>
  <si>
    <t xml:space="preserve">If any appliance failed spillage or tested unacceptable for CO, or if ambient CO level in </t>
  </si>
  <si>
    <t xml:space="preserve">CAZ became elevated, state actions taken here; any additional appliances tested or </t>
  </si>
  <si>
    <t>additonal Combution Appliance Zone data can be placed here also:</t>
  </si>
  <si>
    <t>Street Address</t>
  </si>
  <si>
    <t>BPI-Certified Tester Name</t>
  </si>
  <si>
    <t>Program Ally Name</t>
  </si>
  <si>
    <r>
      <t xml:space="preserve">Floor Area in Square Feet </t>
    </r>
    <r>
      <rPr>
        <sz val="6"/>
        <color theme="1"/>
        <rFont val="Calibri"/>
        <family val="2"/>
        <scheme val="minor"/>
      </rPr>
      <t>(including basements)</t>
    </r>
  </si>
  <si>
    <t xml:space="preserve">Combustion Safety Testing Required </t>
  </si>
  <si>
    <t xml:space="preserve">Pre-work Test Date </t>
  </si>
  <si>
    <t xml:space="preserve">Number of Bedrooms </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</si>
  <si>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</si>
  <si>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Visual Inspection of combustion appliances and venting systems (as per BPI-1200 7.8):</t>
  </si>
  <si>
    <t>N</t>
  </si>
  <si>
    <t>NW</t>
  </si>
  <si>
    <t>One speed fan with timer (existing or new)</t>
  </si>
  <si>
    <t>Other (detail below)</t>
  </si>
  <si>
    <t>Additional Ventilation Notes:</t>
  </si>
  <si>
    <t>W</t>
  </si>
  <si>
    <t>S</t>
  </si>
  <si>
    <t>NE</t>
  </si>
  <si>
    <t>SW</t>
  </si>
  <si>
    <t>SE</t>
  </si>
  <si>
    <t xml:space="preserve">Post-work Test Date </t>
  </si>
  <si>
    <t>USE</t>
  </si>
  <si>
    <t>Zero out kWh savings if electric account is not "X"</t>
  </si>
  <si>
    <t>Greatest Possible Depressurization:</t>
  </si>
  <si>
    <t>Suspect Gas Leak Found:</t>
  </si>
  <si>
    <t>Number of Stories</t>
  </si>
  <si>
    <t>Room AC Electrical modification</t>
  </si>
  <si>
    <t>ENERGY STAR Certified Heat Pump Water Heater - 240 Volts</t>
  </si>
  <si>
    <t>ENERGY STAR Certified Heat Pump Water Heater - 120 Volts</t>
  </si>
  <si>
    <t>ENERGY STAR Certified Gas Storage Water Heaters</t>
  </si>
  <si>
    <t>Kneewall Insulation
[R0 to R12 or Greater]</t>
  </si>
  <si>
    <t>Wall Insulation
[R0 to R11 or Greater]</t>
  </si>
  <si>
    <t>Rim Joist Insulation
[R0 to R10 or Greater]</t>
  </si>
  <si>
    <t>Crawl Space Wall Insulation
[R0 to R10 or Greater]</t>
  </si>
  <si>
    <t>Update insulation measures initial conditions to R0</t>
  </si>
  <si>
    <t>Data Entry TR Review Tab - added Bonus lines and Disclaimer Form checkbox</t>
  </si>
  <si>
    <t>For Accesses Update for Tim Huber, remove Cut &amp; close rouch access and kneewall door access from PY24 Pricing tab and update H&amp;S PY24 price for horizontal/vertical access standard/unique</t>
  </si>
  <si>
    <t xml:space="preserve">Asbestos - Duct Wrap and Flue Pipe </t>
  </si>
  <si>
    <t>Horizontal Access 'Standard'</t>
  </si>
  <si>
    <t>Horizontal Access 'Unique'</t>
  </si>
  <si>
    <t>Vertical Access 'Standard'</t>
  </si>
  <si>
    <t>Vertical Access 'Unique'</t>
  </si>
  <si>
    <t>Water Heater Repair</t>
  </si>
  <si>
    <t>Water Heater Replacement</t>
  </si>
  <si>
    <t>Disclaimer Form</t>
  </si>
  <si>
    <t>Bonus</t>
  </si>
  <si>
    <t>Confined/Inaccessible Spaces - Access necessary for inspection and/or completion of work.</t>
  </si>
  <si>
    <t xml:space="preserve">Includes creating an access and installing an air-tight, insulated, operable door or panel into a horizontal surface such as a ceiling or floor. Includes finish trim or transition, framing, and damming around the opening. Refer to the Building Envelope Field Guide - 4.1.5.2. Damming not required for floor accesses. Floor access insulation not required if crawlspace is/will be encapsulated. </t>
  </si>
  <si>
    <t>Includes creating an access and installing an air tight, insulated, operable door or panel into a vertical surface such as a wall. Includes finish trim, framing, and damming around the opening. Refer to the Building Envelope Field Guide - 4.1.5.2.</t>
  </si>
  <si>
    <t>Includes creating an access in a horizontal surface such as a ceiling or floor. Provide detailed proposal for necessary work.</t>
  </si>
  <si>
    <t>Includes creating an access in a vertical surface such as a wall. Provide detailed proposal for necessary work.</t>
  </si>
  <si>
    <t>When necessary for vapor barrier installation &amp; potentially other measures to be completed within the crawlspace. Provide detailed proposal for necessary work.</t>
  </si>
  <si>
    <t>ENERGY STAR Certified Continuous Exhaust Fans</t>
  </si>
  <si>
    <t>SECTION 2: ENERGY EFFICIENCY EQUIPMENT</t>
  </si>
  <si>
    <t>System
Type:</t>
  </si>
  <si>
    <t>High Efficiency Furnace</t>
  </si>
  <si>
    <t>AFUE:</t>
  </si>
  <si>
    <t>Heating Capacity:</t>
  </si>
  <si>
    <t>SECTION 3: CUSTOMER SUMMARY - Annual Customer Energy Bill Impacts</t>
  </si>
  <si>
    <t>Electric Bill Savings</t>
  </si>
  <si>
    <t>SECTION 4: CUSTOMER ACKNOWLEDGEMENT</t>
  </si>
  <si>
    <t>These are projected savings based upon modeling and are not guaranteed. The bill savings may not be an accurate representation of the actual savings due to variances in equipment, assumptions in home performance, cost of energy, or other energy use. Ameren Illinois, its parent, affiliates and subsidiaries, and their directors, officers, employees, contractors or agents shall not be liable to the customer for the failure to achieve energy savings in general or as listed above.</t>
  </si>
  <si>
    <t xml:space="preserve">I, the undersigned, agree that the information above is representative of what has been discussed and proposed by the participating program ally (contractor). </t>
  </si>
  <si>
    <t>Weatherization</t>
  </si>
  <si>
    <t>Key Impacts</t>
  </si>
  <si>
    <t>Rate Inputs</t>
  </si>
  <si>
    <t>Annual Bill Savings ($)</t>
  </si>
  <si>
    <t>Current Date</t>
  </si>
  <si>
    <t>Annual BTU Savings</t>
  </si>
  <si>
    <t>Electric Rate Class</t>
  </si>
  <si>
    <t>DS-1 (Residential)</t>
  </si>
  <si>
    <t>Annual Claimable kWh Savings</t>
  </si>
  <si>
    <t>Natural Gas Rate Class</t>
  </si>
  <si>
    <t>GDS-1 (Residential)</t>
  </si>
  <si>
    <t>Electricity (Non-Summer)</t>
  </si>
  <si>
    <t>/kWh</t>
  </si>
  <si>
    <t>$/kWh Savings Yield</t>
  </si>
  <si>
    <t>Electricity (Summer)</t>
  </si>
  <si>
    <t>AFUE_EE</t>
  </si>
  <si>
    <t>First Year CO2 Savings (lb)</t>
  </si>
  <si>
    <t>/MMBTU</t>
  </si>
  <si>
    <t>Natural Gas (Customer Charge)</t>
  </si>
  <si>
    <t>/Month</t>
  </si>
  <si>
    <t>Heating Btuh_EE</t>
  </si>
  <si>
    <t>Key</t>
  </si>
  <si>
    <t>Natural Gas Elimination</t>
  </si>
  <si>
    <t>Partial</t>
  </si>
  <si>
    <t>User Input</t>
  </si>
  <si>
    <t>Output</t>
  </si>
  <si>
    <t>/gal</t>
  </si>
  <si>
    <t>Fuel Oil</t>
  </si>
  <si>
    <t>Existing Central Cooling</t>
  </si>
  <si>
    <t>Customer Type</t>
  </si>
  <si>
    <t>Income Eligible?</t>
  </si>
  <si>
    <t>Measure Selection</t>
  </si>
  <si>
    <t>Sector</t>
  </si>
  <si>
    <t>End Use</t>
  </si>
  <si>
    <t>Existing Technology</t>
  </si>
  <si>
    <t>Existing Fuel</t>
  </si>
  <si>
    <t>New Technology</t>
  </si>
  <si>
    <t>Project Cost</t>
  </si>
  <si>
    <t>Existing Technology BTU Impacts</t>
  </si>
  <si>
    <t>New Technology BTU Impacts</t>
  </si>
  <si>
    <t>Total BTU Impacts by Fuel Type</t>
  </si>
  <si>
    <t>Bill Impacts by Fuel Type</t>
  </si>
  <si>
    <t>kWh-Equivalent Savings</t>
  </si>
  <si>
    <t>CO2 Savings</t>
  </si>
  <si>
    <t>Fossil Fuel</t>
  </si>
  <si>
    <t>Winter Electricity</t>
  </si>
  <si>
    <t>Summer Electricity</t>
  </si>
  <si>
    <t>Total Electricity</t>
  </si>
  <si>
    <t>Electricity</t>
  </si>
  <si>
    <t>Residential</t>
  </si>
  <si>
    <t>n/a</t>
  </si>
  <si>
    <t>Hot Water</t>
  </si>
  <si>
    <t>Appliances</t>
  </si>
  <si>
    <t>Building Shell</t>
  </si>
  <si>
    <t>Total Net BTU Impacts =</t>
  </si>
  <si>
    <t>Total Net Bill Impacts =</t>
  </si>
  <si>
    <t>Total Net Claimable kWh Savings =</t>
  </si>
  <si>
    <t>Total Net CO2 Savings =</t>
  </si>
  <si>
    <t>Measure / Technology</t>
  </si>
  <si>
    <t>Attribute</t>
  </si>
  <si>
    <t>Value</t>
  </si>
  <si>
    <t>Source</t>
  </si>
  <si>
    <t>TRM Measure Code</t>
  </si>
  <si>
    <t>ISFORMULA()</t>
  </si>
  <si>
    <t>EFLH</t>
  </si>
  <si>
    <t>based on zip code</t>
  </si>
  <si>
    <t>Illinois Statewide Technical Reference Manual — 5.3.1 Air Source Heat Pumps (Centrally Ducted and Ductless)</t>
  </si>
  <si>
    <t>RS-HVC-ASHP-V14-240101</t>
  </si>
  <si>
    <t>Air-Source Heat Pump</t>
  </si>
  <si>
    <t>Capacity_ASHPheat (Btuh_Existing)</t>
  </si>
  <si>
    <t>Actual</t>
  </si>
  <si>
    <t>Heat Load Factor</t>
  </si>
  <si>
    <t>partial based on zip code (assumed 32F switchover temp)</t>
  </si>
  <si>
    <t>HeatLoad_Disp</t>
  </si>
  <si>
    <t>DuctlessSave</t>
  </si>
  <si>
    <t>ducted replaced by ducted</t>
  </si>
  <si>
    <t>AFUEbase</t>
  </si>
  <si>
    <t>GasHeatReplaced</t>
  </si>
  <si>
    <t>FurnaceFlag</t>
  </si>
  <si>
    <t>Furnace replaced</t>
  </si>
  <si>
    <t>Capacity_ASHPheat</t>
  </si>
  <si>
    <t>Fe</t>
  </si>
  <si>
    <t>FurnaceFanSavings</t>
  </si>
  <si>
    <t>MMBTU</t>
  </si>
  <si>
    <t>FLH_ASHPheat</t>
  </si>
  <si>
    <t>HSPF2_ee</t>
  </si>
  <si>
    <t>HSPF2_ClimateAdj</t>
  </si>
  <si>
    <t>full based on zip code (assumed 32F switchover temp)</t>
  </si>
  <si>
    <t>PD_Adj</t>
  </si>
  <si>
    <t>DeratingHeatEff</t>
  </si>
  <si>
    <t>unknown</t>
  </si>
  <si>
    <t>ASHPSiteHeatConsumed</t>
  </si>
  <si>
    <t>FLHcool</t>
  </si>
  <si>
    <t>Capacity_ASHPcool</t>
  </si>
  <si>
    <t>CoolingLoad</t>
  </si>
  <si>
    <t>SEER2_base</t>
  </si>
  <si>
    <t>DeratingCoolBase</t>
  </si>
  <si>
    <t>SEER2_ee</t>
  </si>
  <si>
    <t>DeratingCoolEff</t>
  </si>
  <si>
    <t>ASHPSiteCoolingImpact</t>
  </si>
  <si>
    <t>BTU_NewSiteCoolingImpact</t>
  </si>
  <si>
    <t>SiteEnergySavings (MMBTUs)</t>
  </si>
  <si>
    <t>Capacity_cooling</t>
  </si>
  <si>
    <t>Estimated cooling capacity</t>
  </si>
  <si>
    <t>EER_base</t>
  </si>
  <si>
    <t>Central AC, TOS</t>
  </si>
  <si>
    <t>EER_ee</t>
  </si>
  <si>
    <t>CF</t>
  </si>
  <si>
    <t>Summer System Peak Coincidence Factor for Heat Pumps in single-family homes (during system peak hour)</t>
  </si>
  <si>
    <t>Delta_kW</t>
  </si>
  <si>
    <t>kWh Saved per Unit</t>
  </si>
  <si>
    <t>Coincident Peak kW Saved per Unit</t>
  </si>
  <si>
    <t>Propane Gal Saved per Unit</t>
  </si>
  <si>
    <t>91,333 Btu per gal propane, IL EE Policy Manual v2.1</t>
  </si>
  <si>
    <t>Lifetime (years)</t>
  </si>
  <si>
    <t>Incremental Cost</t>
  </si>
  <si>
    <t>Leidos pricing for 3-ton SEER 16 ASHP with electrical upgrades</t>
  </si>
  <si>
    <t>BTU Impact_Existing_Fossil Fuel</t>
  </si>
  <si>
    <t>BTU Impact_Existing_Winter Electricity</t>
  </si>
  <si>
    <t>BTU Impact_Existing_Summer Electricity</t>
  </si>
  <si>
    <t>BTU Impact_New_Fossil Fuel</t>
  </si>
  <si>
    <t>BTU Impact_New_Winter Electricity</t>
  </si>
  <si>
    <t>BTU Impact_New_Summer Electricity</t>
  </si>
  <si>
    <t>Single Family</t>
  </si>
  <si>
    <t>Ductless Heat Pump</t>
  </si>
  <si>
    <t>Capacity_DMSHPheat (Btuh_Existing)</t>
  </si>
  <si>
    <t>ductless replaced by ductless</t>
  </si>
  <si>
    <t>No furnace replaced</t>
  </si>
  <si>
    <t>Capacity_DMSHPheat</t>
  </si>
  <si>
    <t>EFLHheat_DMSHP</t>
  </si>
  <si>
    <t>HeatLoadFactorelec</t>
  </si>
  <si>
    <t>DMSHPSiteHeatConsumed</t>
  </si>
  <si>
    <t>EFLHcool</t>
  </si>
  <si>
    <t>Capacity_DMSHPcool</t>
  </si>
  <si>
    <t>DMSHPSiteCoolingImpact</t>
  </si>
  <si>
    <t>Assumes no existing cooling system</t>
  </si>
  <si>
    <t>Capacitycool</t>
  </si>
  <si>
    <t>Illinois Statewide Technical Reference Manual — 5.3.8 Ground Source Heat Pump</t>
  </si>
  <si>
    <t>RS-HVC-GSHP-V14-240101</t>
  </si>
  <si>
    <t>Ground Source Heat Pump</t>
  </si>
  <si>
    <t>HeatLoad</t>
  </si>
  <si>
    <t>FLH_GSHPheat</t>
  </si>
  <si>
    <t>Capacity_GSHPheat</t>
  </si>
  <si>
    <t>COP_pl</t>
  </si>
  <si>
    <t>GSHPSiteHeatConsumed</t>
  </si>
  <si>
    <t>Capacity_GSHPcool</t>
  </si>
  <si>
    <t>EER2_pl</t>
  </si>
  <si>
    <t>GSHPSiteCoolingImpact</t>
  </si>
  <si>
    <t>EER2_base</t>
  </si>
  <si>
    <t>Summer System Peak Coincidence Factor for Central A/C (during sytem peak hour)</t>
  </si>
  <si>
    <t>%DHW Displaced</t>
  </si>
  <si>
    <t>unknown, no desuperheater installed</t>
  </si>
  <si>
    <t>EF_gas</t>
  </si>
  <si>
    <t>unknown, assumed 40 gal</t>
  </si>
  <si>
    <t>EF_elec</t>
  </si>
  <si>
    <t>GPD</t>
  </si>
  <si>
    <t>Household</t>
  </si>
  <si>
    <t>yWater</t>
  </si>
  <si>
    <t>T_out</t>
  </si>
  <si>
    <t>T_in</t>
  </si>
  <si>
    <t>GSHPSiteWaterImpact_gas</t>
  </si>
  <si>
    <t>GSHPSiteWaterImpact_elec</t>
  </si>
  <si>
    <t>UEFBASE</t>
  </si>
  <si>
    <t>50 gallon</t>
  </si>
  <si>
    <t>Illinois Statewide Technical Reference Manual — 5.4.3 Heat Pump Water Heaters</t>
  </si>
  <si>
    <t>RS-HWE-HPWH-V13-240101</t>
  </si>
  <si>
    <t>UEFEFFICIENT</t>
  </si>
  <si>
    <t>Single-Family - Deemed</t>
  </si>
  <si>
    <t>γWater</t>
  </si>
  <si>
    <t>TOUT</t>
  </si>
  <si>
    <t>TIN</t>
  </si>
  <si>
    <t>Unknown location</t>
  </si>
  <si>
    <t>COPCOOL</t>
  </si>
  <si>
    <t>Unknown</t>
  </si>
  <si>
    <t>LM</t>
  </si>
  <si>
    <t>kWh_cooling</t>
  </si>
  <si>
    <t>COPHEAT</t>
  </si>
  <si>
    <t>%NaturalGas</t>
  </si>
  <si>
    <t>kWh_heating</t>
  </si>
  <si>
    <t>Deh_Reduction</t>
  </si>
  <si>
    <t>Delta_kWh</t>
  </si>
  <si>
    <t>Hours</t>
  </si>
  <si>
    <t>Unknown, 50-gal capacity</t>
  </si>
  <si>
    <t>Delta_Therms</t>
  </si>
  <si>
    <t>Delta_Btu</t>
  </si>
  <si>
    <t>Load</t>
  </si>
  <si>
    <t>Standard</t>
  </si>
  <si>
    <t>Illinois Statewide Technical Reference Manual — 5.1.10 ENERGY STAR Clothes Dryer</t>
  </si>
  <si>
    <t>RS-APL-ESDR-V06-240101</t>
  </si>
  <si>
    <t>CEFbase</t>
  </si>
  <si>
    <t>Vented Electric, Standard (≥ 4.4 ft3)</t>
  </si>
  <si>
    <t>CEFeff</t>
  </si>
  <si>
    <t>ES min</t>
  </si>
  <si>
    <t>Ncycles</t>
  </si>
  <si>
    <t>%Electric</t>
  </si>
  <si>
    <t>Electric Dryer</t>
  </si>
  <si>
    <t>ΔkWh</t>
  </si>
  <si>
    <t>ΔkW</t>
  </si>
  <si>
    <t>EFbase</t>
  </si>
  <si>
    <t>Vented Gas</t>
  </si>
  <si>
    <t>IQAdj</t>
  </si>
  <si>
    <t>Therm_convert</t>
  </si>
  <si>
    <t>%Gas</t>
  </si>
  <si>
    <t>Gas Dryer</t>
  </si>
  <si>
    <t>Δtherm</t>
  </si>
  <si>
    <t>Therms Saved per Unit</t>
  </si>
  <si>
    <t>ENERGY STAR</t>
  </si>
  <si>
    <t>Gas Dryer Electric Consumption</t>
  </si>
  <si>
    <t>Electric Range</t>
  </si>
  <si>
    <t>Cooktop AEC_basegas</t>
  </si>
  <si>
    <t>Illinois Statewide Technical Reference Manual — 5.1.14 Residential Induction Cooking Appliances</t>
  </si>
  <si>
    <t>RS-MSC-INDC-V02-240101</t>
  </si>
  <si>
    <t>Oven AEC_basegas</t>
  </si>
  <si>
    <t>AEC_basegas</t>
  </si>
  <si>
    <t>Gas Consumption Replaced</t>
  </si>
  <si>
    <t>Cooktop IAEC_ee</t>
  </si>
  <si>
    <t>Oven IAEC_ee</t>
  </si>
  <si>
    <t>unknown, range amount</t>
  </si>
  <si>
    <t>IAEC_ee</t>
  </si>
  <si>
    <t>Electric Consumption Added</t>
  </si>
  <si>
    <t>Eff_ee</t>
  </si>
  <si>
    <t>Eff_base</t>
  </si>
  <si>
    <t>Cooktop AEC_base</t>
  </si>
  <si>
    <t>AEC_baseelectric</t>
  </si>
  <si>
    <t>Electric Consumption Replaced</t>
  </si>
  <si>
    <t>Cooking Savings</t>
  </si>
  <si>
    <t>%Cool</t>
  </si>
  <si>
    <t>HCF_cool</t>
  </si>
  <si>
    <t>Vent Factor</t>
  </si>
  <si>
    <t>COP_cool</t>
  </si>
  <si>
    <t>Cooling Impact</t>
  </si>
  <si>
    <t>%ElectricHeat</t>
  </si>
  <si>
    <t>unknwon</t>
  </si>
  <si>
    <t>HCF_heat</t>
  </si>
  <si>
    <t>COP_heat</t>
  </si>
  <si>
    <t>ElecHeat Impact</t>
  </si>
  <si>
    <t>%FossilFuelHeat</t>
  </si>
  <si>
    <t>nHeat</t>
  </si>
  <si>
    <t>Fossil Fuel Heat Impact</t>
  </si>
  <si>
    <t>WHFd</t>
  </si>
  <si>
    <t>kW Saved per Unit</t>
  </si>
  <si>
    <t>Air Sealing (Electric Heat)</t>
  </si>
  <si>
    <t>CFM50_existing</t>
  </si>
  <si>
    <t>per project</t>
  </si>
  <si>
    <t>Illinois Statewide Technical Reference Manual — 5.6.1 Air Sealing</t>
  </si>
  <si>
    <t>RS-SHL-AIRS-V13-240101</t>
  </si>
  <si>
    <t>CFM50_new</t>
  </si>
  <si>
    <t>per CFM</t>
  </si>
  <si>
    <t>N_cool</t>
  </si>
  <si>
    <t>Springfield, 1.5 stories</t>
  </si>
  <si>
    <t>CDD</t>
  </si>
  <si>
    <t>Based on zip code</t>
  </si>
  <si>
    <t>DUA</t>
  </si>
  <si>
    <t>ηCool</t>
  </si>
  <si>
    <t>ηCool_Mid-Life_Adj</t>
  </si>
  <si>
    <t>Springfield</t>
  </si>
  <si>
    <t>ADJAirSealingCool</t>
  </si>
  <si>
    <t>Air sealing and attic insulation</t>
  </si>
  <si>
    <t>IENetCorrection</t>
  </si>
  <si>
    <t>Delta_kWh_cooling</t>
  </si>
  <si>
    <t>Delta_kWh_cooling_Mid-Life_Adj</t>
  </si>
  <si>
    <t>N_heat</t>
  </si>
  <si>
    <t>HDD</t>
  </si>
  <si>
    <t>ηHeat</t>
  </si>
  <si>
    <t>ηHeat_Mid-Life_Adj</t>
  </si>
  <si>
    <t>Electric Heat</t>
  </si>
  <si>
    <t>Delta_kWh_heatingElectric</t>
  </si>
  <si>
    <t>Delta_kWh_heatingElectric_Mid-Life_Adj</t>
  </si>
  <si>
    <t>ADJAirSealingHeatFan</t>
  </si>
  <si>
    <t>Delta_kWh_heatingGas</t>
  </si>
  <si>
    <t>Delta_kWh_heatingGas_Mid-Life_Adj</t>
  </si>
  <si>
    <t>FLH_cooling</t>
  </si>
  <si>
    <t>Delta_kW_Mid-Life_Adj</t>
  </si>
  <si>
    <t>ADJAirSealingGasHeat</t>
  </si>
  <si>
    <t>Delta_therms</t>
  </si>
  <si>
    <t>Delta_therms_Mid-Life_Adj</t>
  </si>
  <si>
    <t>Remaining Year kWh</t>
  </si>
  <si>
    <t>Remaining Year kW</t>
  </si>
  <si>
    <t>Remaining Year Therms</t>
  </si>
  <si>
    <t>Remaining Life</t>
  </si>
  <si>
    <t>Direct Install, set equal to incentive cost</t>
  </si>
  <si>
    <t>Ceiling/Attic Insulation #1 (Electric Heat)</t>
  </si>
  <si>
    <t>R_old</t>
  </si>
  <si>
    <t>Illinois Statewide Technical Reference Manual — 5.6.5 Ceiling/Attic Insulation</t>
  </si>
  <si>
    <t>RS-SHL-AINS-V07-240101</t>
  </si>
  <si>
    <t>R_attic</t>
  </si>
  <si>
    <t>A_attic</t>
  </si>
  <si>
    <t>Framing_factor_attic</t>
  </si>
  <si>
    <t>ADJAtticCool</t>
  </si>
  <si>
    <t>ADJAtticElectricHeat</t>
  </si>
  <si>
    <t>ADJAtticHeatFan</t>
  </si>
  <si>
    <t>ADJAtticGasHeat</t>
  </si>
  <si>
    <t>%GasHeat</t>
  </si>
  <si>
    <t>Ceiling/Attic Insulation #2 (Electric Heat)</t>
  </si>
  <si>
    <t>Attic Kneewall Insulation #1 (Electric Heat)</t>
  </si>
  <si>
    <t>Illinois Statewide Technical Reference Manual — 5.6.4 Wall Insulation</t>
  </si>
  <si>
    <t>RS-SHL-WINS-V13-240101</t>
  </si>
  <si>
    <t>R_wall</t>
  </si>
  <si>
    <t>A_wall</t>
  </si>
  <si>
    <t>Framing_factor_wall</t>
  </si>
  <si>
    <t>ADJWallCool</t>
  </si>
  <si>
    <t>ADJWallHeat</t>
  </si>
  <si>
    <t>Delta_Therms_Mid-Life_Adj</t>
  </si>
  <si>
    <t>Attic Kneewall Insulation #2 (Electric Heat)</t>
  </si>
  <si>
    <t>Wall Insulation (Electric Heat)</t>
  </si>
  <si>
    <t>Uninsulated assembly</t>
  </si>
  <si>
    <t>Rim/Band Joist Insulation (Electric Heat)</t>
  </si>
  <si>
    <t>Illinois Statewide Technical Reference Manual — 5.6.6 Rim/Band Joist Insulation</t>
  </si>
  <si>
    <t>RS-SHL-RINS-V06-240101</t>
  </si>
  <si>
    <t>R_rim</t>
  </si>
  <si>
    <t>A_rim</t>
  </si>
  <si>
    <t>Framing_factor_rim</t>
  </si>
  <si>
    <t>Based on zip code, unconditioned values</t>
  </si>
  <si>
    <t>ADJBasementCool</t>
  </si>
  <si>
    <t>ADJBasementHeat</t>
  </si>
  <si>
    <t>Basement Sidewall Insulation (Electric Heat)</t>
  </si>
  <si>
    <t>R_old_AG</t>
  </si>
  <si>
    <t>Illinois Statewide Technical Reference Manual — 5.6.2 Basement Sidewall Insulation</t>
  </si>
  <si>
    <t>RS-SHL-BINS-V14-240101</t>
  </si>
  <si>
    <t>R_added</t>
  </si>
  <si>
    <t>TRM e.g.</t>
  </si>
  <si>
    <t>L_basement_wall_total</t>
  </si>
  <si>
    <t>H_basement_wall_AG</t>
  </si>
  <si>
    <t>Framing_factor</t>
  </si>
  <si>
    <t>Studs and cavity insulation</t>
  </si>
  <si>
    <t>R_old_BG</t>
  </si>
  <si>
    <t>4 ft below grade</t>
  </si>
  <si>
    <t>H_basement_wall_total</t>
  </si>
  <si>
    <t>RS-SHL-RINS-V05-230101</t>
  </si>
  <si>
    <t>Gas High Efficiency Furnace</t>
  </si>
  <si>
    <t>CAPInput</t>
  </si>
  <si>
    <t>Heating Btuh_Existing</t>
  </si>
  <si>
    <t>Illinois Statewide Technical Reference Manual — 5.3.7 Gas High Efficiency Furnace</t>
  </si>
  <si>
    <t>RS-HVC-GHEF-V13-240101</t>
  </si>
  <si>
    <t>Derating(base)</t>
  </si>
  <si>
    <t>AFUE(base)</t>
  </si>
  <si>
    <t>AFUE_Existing</t>
  </si>
  <si>
    <t>Derating(eff)</t>
  </si>
  <si>
    <t>AFUE(eff)</t>
  </si>
  <si>
    <t>AFUE 95%, Full installation cost</t>
  </si>
  <si>
    <t>Illinois Statewide Technical Reference Manual — 5.3.6 Gas High Efficiency Boiler</t>
  </si>
  <si>
    <t>RS-HVC-GHEB-V11-240101</t>
  </si>
  <si>
    <t>Gas High Efficiency Boiler</t>
  </si>
  <si>
    <t>AFUEBase</t>
  </si>
  <si>
    <t>AFUEEff</t>
  </si>
  <si>
    <t>Scenario Selection</t>
  </si>
  <si>
    <t>Option 1</t>
  </si>
  <si>
    <t>Option 2</t>
  </si>
  <si>
    <t>FF Water Heater</t>
  </si>
  <si>
    <t>FF Dryer</t>
  </si>
  <si>
    <t>FF Range</t>
  </si>
  <si>
    <t>Fuel Unit</t>
  </si>
  <si>
    <t>Btu/Fuel Unit</t>
  </si>
  <si>
    <t>lb CO2/Btu</t>
  </si>
  <si>
    <t>Gal</t>
  </si>
  <si>
    <t>MMBtu</t>
  </si>
  <si>
    <t>Electric Customer Class</t>
  </si>
  <si>
    <t>Gas Customer Class</t>
  </si>
  <si>
    <t xml:space="preserve">Heat Pump Water Heater UEF: </t>
  </si>
  <si>
    <t>Gas Bill Savings</t>
  </si>
  <si>
    <t>Detailed gas and electric bill savings. Gas savings are positive due to eliminating the gas water heater. Electric savings are negative due to the electric use of the HPWH.</t>
  </si>
  <si>
    <t xml:space="preserve">   This home requires a load increase/metering upgrade for electrical service to complete the project.</t>
  </si>
  <si>
    <t xml:space="preserve">   If applicable, the load increase service date provided by the field engineer:</t>
  </si>
  <si>
    <t>Estimated Yearly Bill Savings</t>
  </si>
  <si>
    <t>Estimated Monthly Bill Savings</t>
  </si>
  <si>
    <t>Attic Insulation
[R12 - R19 to R49 or Greater]</t>
  </si>
  <si>
    <t>Attic Insulation R20-R49</t>
  </si>
  <si>
    <t>April</t>
  </si>
  <si>
    <t>Added language to the Electrification tab</t>
  </si>
  <si>
    <t>Added WH Bill Analysis tab for gas water heater to HPWH measure</t>
  </si>
  <si>
    <t>To support the expanded heat pump installation, added the R20-R30 attic insulation measure to Work Scope tab. Added to Project Score.</t>
  </si>
  <si>
    <t>Enhanced Air Sealing Stipend</t>
  </si>
  <si>
    <t>For pre-approved electric only projects. Install additional weatherstripping and caulking throughout the home. Photographs of enhanced measures required.</t>
  </si>
  <si>
    <t>Added Air Sealing Stipend measure for HP expansion</t>
  </si>
  <si>
    <t>Rev 4.0</t>
  </si>
  <si>
    <t>For PY25:</t>
  </si>
  <si>
    <t>Add smart thermostat to Electrification tab</t>
  </si>
  <si>
    <r>
      <rPr>
        <b/>
        <sz val="11"/>
        <color rgb="FFFF0000"/>
        <rFont val="Calibri"/>
        <family val="2"/>
        <scheme val="minor"/>
      </rPr>
      <t>**</t>
    </r>
    <r>
      <rPr>
        <sz val="11"/>
        <color theme="1"/>
        <rFont val="Calibri"/>
        <family val="2"/>
        <scheme val="minor"/>
      </rPr>
      <t xml:space="preserve"> if no information provided, leave capacity and AFUE/SEER blank in equipment details</t>
    </r>
  </si>
  <si>
    <t>Rev 5.0</t>
  </si>
  <si>
    <t>Added Gas Tankless Water Heater</t>
  </si>
  <si>
    <t>Gas Tankless Water Heater</t>
  </si>
  <si>
    <t>Must be replacement of an existing natural gas water heater that has a qualifying Health &amp; Safety related failure.  Energy Star certified - refer to Energy Star Certified Products list on the Program Ally Portal.  Sealed Combustion and Installed per manufacturer's installation instructions. Refer to the Available Residential Measures Guide for full specifications.</t>
  </si>
  <si>
    <t>Existing Water Heater Tank Storage Volume (in gallons):</t>
  </si>
  <si>
    <t>Revise pricing tab?</t>
  </si>
  <si>
    <t>15.2 SEER2 Air Conditioner</t>
  </si>
  <si>
    <t>15.2 SEER2, 8.1 HSPF2 Air Source Heat Pump</t>
  </si>
  <si>
    <t>Revise pricing tab to SEER2/HSPF2 requirements on CAC and ASHP</t>
  </si>
  <si>
    <r>
      <rPr>
        <b/>
        <sz val="10"/>
        <color theme="1"/>
        <rFont val="Calibri"/>
        <family val="2"/>
        <scheme val="minor"/>
      </rPr>
      <t>Tip 5:</t>
    </r>
    <r>
      <rPr>
        <sz val="10"/>
        <color theme="1"/>
        <rFont val="Calibri"/>
        <family val="2"/>
        <scheme val="minor"/>
      </rPr>
      <t xml:space="preserve"> For Tier 2 applicants, the HVAC equipment capacity must be entered for the incentive to populate in this format: xx,xxx.</t>
    </r>
  </si>
  <si>
    <t>Revise Data Entry tab for updated HVAC instructions</t>
  </si>
  <si>
    <t>Revise high need qualifier age to 55</t>
  </si>
  <si>
    <t>**Select a ventilation strategy</t>
  </si>
  <si>
    <t>**Select the ventilation strategy used</t>
  </si>
  <si>
    <t>Gas Tankless Water Heater 
[Energy Star Certified]</t>
  </si>
  <si>
    <t>H&amp;S HPWH</t>
  </si>
  <si>
    <t>If water heater = natural gas and HPWH is added, populate full incentive for Tier 1 and Tier 2</t>
  </si>
  <si>
    <t>Update derating formula to 2025</t>
  </si>
  <si>
    <t>AMIL #:</t>
  </si>
  <si>
    <t>ZIP:</t>
  </si>
  <si>
    <t>LICA Tier</t>
  </si>
  <si>
    <t>Weather-Sensitive Inputs</t>
  </si>
  <si>
    <t>Weatherization Project Inputs</t>
  </si>
  <si>
    <t>Climate Zone</t>
  </si>
  <si>
    <t>Total CFM50 Reduction</t>
  </si>
  <si>
    <t>Ceiling/Attic Insulation #1</t>
  </si>
  <si>
    <t>Total Project Sqft</t>
  </si>
  <si>
    <t>Heating System Inputs</t>
  </si>
  <si>
    <t>Ceiling/Attic Insulation #2</t>
  </si>
  <si>
    <t>HSPF/COP_EE</t>
  </si>
  <si>
    <t>Attic Kneewall Insulation #1</t>
  </si>
  <si>
    <t>Attic Kneewall Insulation #2</t>
  </si>
  <si>
    <t>AFUE_Base</t>
  </si>
  <si>
    <t>Rim/Band Joist Insulation</t>
  </si>
  <si>
    <t>Heating Btuh_Base</t>
  </si>
  <si>
    <t>Basement Sidewall Insulation</t>
  </si>
  <si>
    <t>Total Length (ft)</t>
  </si>
  <si>
    <t>Switchover Temperature</t>
  </si>
  <si>
    <t>32F</t>
  </si>
  <si>
    <t>Above Grade Height (ft)</t>
  </si>
  <si>
    <t>Total Height (ft)</t>
  </si>
  <si>
    <t>Cooling System Inputs</t>
  </si>
  <si>
    <t>SEER2_EE/EER2_PL</t>
  </si>
  <si>
    <t>Insulation Properties</t>
  </si>
  <si>
    <t>Pre R-Value</t>
  </si>
  <si>
    <t>Post R-Value</t>
  </si>
  <si>
    <t>Derated AFUE_Base</t>
  </si>
  <si>
    <t>SEER2_Base</t>
  </si>
  <si>
    <t>converted to SEER2</t>
  </si>
  <si>
    <t>Derated SEER_Base</t>
  </si>
  <si>
    <t>Capacity_ASHPCool</t>
  </si>
  <si>
    <t>47F</t>
  </si>
  <si>
    <t>44F</t>
  </si>
  <si>
    <t>41F</t>
  </si>
  <si>
    <t>38F</t>
  </si>
  <si>
    <t>35F</t>
  </si>
  <si>
    <t>29F</t>
  </si>
  <si>
    <t>26F</t>
  </si>
  <si>
    <t>23F</t>
  </si>
  <si>
    <t>20F</t>
  </si>
  <si>
    <t>17F</t>
  </si>
  <si>
    <t>Weighted Average</t>
  </si>
  <si>
    <t>5 (Marion)</t>
  </si>
  <si>
    <t>4 (Belleville)</t>
  </si>
  <si>
    <t>3 (Springfield)</t>
  </si>
  <si>
    <t>2 (Chicago)</t>
  </si>
  <si>
    <t>1 (Rockford)</t>
  </si>
  <si>
    <t>Tier 1</t>
  </si>
  <si>
    <t>Tier 2</t>
  </si>
  <si>
    <t>Tier 3</t>
  </si>
  <si>
    <t>Tier 4</t>
  </si>
  <si>
    <t>Tier 5</t>
  </si>
  <si>
    <t>WH Bill Impact tab</t>
  </si>
  <si>
    <t>Rev 1.B</t>
  </si>
  <si>
    <t>Added new WH bill impact tool</t>
  </si>
  <si>
    <t xml:space="preserve">Cooling Capacity (Btuh)    </t>
  </si>
  <si>
    <t xml:space="preserve">Heating Capacity (Btuh) @ 47 F    </t>
  </si>
  <si>
    <t xml:space="preserve">Depth </t>
  </si>
  <si>
    <t xml:space="preserve">SF </t>
  </si>
  <si>
    <t xml:space="preserve">Condition </t>
  </si>
  <si>
    <t xml:space="preserve">Existing Type </t>
  </si>
  <si>
    <t xml:space="preserve">Percentage of Wall at Existing R-Value </t>
  </si>
  <si>
    <t xml:space="preserve">% Ductwork in Unconditioned Space </t>
  </si>
  <si>
    <t xml:space="preserve">Distribution Efficiency Before </t>
  </si>
  <si>
    <t xml:space="preserve">Distribution Efficiency After </t>
  </si>
  <si>
    <t xml:space="preserve">Energy Star ID </t>
  </si>
  <si>
    <t xml:space="preserve">Manufacturer </t>
  </si>
  <si>
    <t xml:space="preserve">Capacity </t>
  </si>
  <si>
    <t xml:space="preserve">Cooling Capacity (Btuh) </t>
  </si>
  <si>
    <t xml:space="preserve">CEER Rating </t>
  </si>
  <si>
    <t xml:space="preserve">AHRI # </t>
  </si>
  <si>
    <t xml:space="preserve">AFUE </t>
  </si>
  <si>
    <t xml:space="preserve">Input BTUH </t>
  </si>
  <si>
    <t xml:space="preserve">SEER2 </t>
  </si>
  <si>
    <t xml:space="preserve">EER2 </t>
  </si>
  <si>
    <t xml:space="preserve">HSPF2 </t>
  </si>
  <si>
    <t>Removed 17F Heating Capacity for heat pumps</t>
  </si>
  <si>
    <t>Revised ASHP savings from PY24 data for updates to measure in TRM V12.0. ASHP ER Replaces Resistance = 10106.082 kWh. ASHP ER Replaces ASHP = 6078.11.</t>
  </si>
  <si>
    <t>Added notes on Test Form</t>
  </si>
  <si>
    <t>Added ASHP product guidance on Data Entry TR tab</t>
  </si>
  <si>
    <t>Add ER/Standard guidance for heating system on Data Entry TR tab</t>
  </si>
  <si>
    <t xml:space="preserve">Email:  </t>
  </si>
  <si>
    <t>Began building HVAC Test Form</t>
  </si>
  <si>
    <t>HVAC Test Form</t>
  </si>
  <si>
    <t xml:space="preserve">Technician:  </t>
  </si>
  <si>
    <t xml:space="preserve">Phone: </t>
  </si>
  <si>
    <t>Model Number</t>
  </si>
  <si>
    <t>Equipment Rating From Nameplate (full speed)</t>
  </si>
  <si>
    <t>Test Results</t>
  </si>
  <si>
    <t>Pass/Fail</t>
  </si>
  <si>
    <t>Gas</t>
  </si>
  <si>
    <t>BTUH Input</t>
  </si>
  <si>
    <t>Gas Inlet Pressure</t>
  </si>
  <si>
    <t>Gas Manifold Pressure</t>
  </si>
  <si>
    <t>External Static Pressure</t>
  </si>
  <si>
    <t>Electrical</t>
  </si>
  <si>
    <t>Transition from Heat Pump to Electric Resistance</t>
  </si>
  <si>
    <t>Voltage</t>
  </si>
  <si>
    <t>Current</t>
  </si>
  <si>
    <t>Condenser</t>
  </si>
  <si>
    <t>Coil</t>
  </si>
  <si>
    <t>Air Handler</t>
  </si>
  <si>
    <t xml:space="preserve">Manufacturer  </t>
  </si>
  <si>
    <t xml:space="preserve">Model Number  </t>
  </si>
  <si>
    <t>Compressor Volts</t>
  </si>
  <si>
    <t>Compressor Amps</t>
  </si>
  <si>
    <t>Condenser Fan Volts</t>
  </si>
  <si>
    <t>Condenser Fan Amps</t>
  </si>
  <si>
    <t>Air Handler Voltage</t>
  </si>
  <si>
    <t>Air Handler Current</t>
  </si>
  <si>
    <t>Cooling Air Flow (cfm)</t>
  </si>
  <si>
    <t>Cooling Total External Static Pressure</t>
  </si>
  <si>
    <t>Heating Air Flow (cfm)</t>
  </si>
  <si>
    <t>Heating Total External Static Pressure</t>
  </si>
  <si>
    <t>AirFlow</t>
  </si>
  <si>
    <t>Temperatures during charge test</t>
  </si>
  <si>
    <t>Temperatures</t>
  </si>
  <si>
    <t>Strip Heat Amps</t>
  </si>
  <si>
    <t>Strip Heat Volts</t>
  </si>
  <si>
    <t>Outdoor</t>
  </si>
  <si>
    <t>Indoor</t>
  </si>
  <si>
    <t>Charge Chart Targets</t>
  </si>
  <si>
    <t>Coded guidance for Data Entry on HPWH product selection</t>
  </si>
  <si>
    <t>Electric Resistance Strip Heat</t>
  </si>
  <si>
    <t>Air Handler/Furnace - without Resistance Strip Heat included</t>
  </si>
  <si>
    <t xml:space="preserve">License #: </t>
  </si>
  <si>
    <t xml:space="preserve">     Company Name: </t>
  </si>
  <si>
    <t xml:space="preserve"> SECTION 1: TESTING TECHNICIAN CONTACT INFORMATION</t>
  </si>
  <si>
    <t xml:space="preserve"> SECTION 2: EQUIPMENT TEST RESULTS SYSTEM 1</t>
  </si>
  <si>
    <t xml:space="preserve"> SECTION 3: TESTING NOTES</t>
  </si>
  <si>
    <t xml:space="preserve">   Please Describe Below Unique and/or Unusual Circumstances that Support Measure or Project Eligibility for Consideration</t>
  </si>
  <si>
    <t>Electric Resistance Strip Heat - with air handler integrated</t>
  </si>
  <si>
    <t>Strip Heat kW rating</t>
  </si>
  <si>
    <t xml:space="preserve">Attic: </t>
  </si>
  <si>
    <t xml:space="preserve">Exterior Walls: </t>
  </si>
  <si>
    <t xml:space="preserve">Basement: </t>
  </si>
  <si>
    <t xml:space="preserve">Other: </t>
  </si>
  <si>
    <t>Work Site Address:</t>
  </si>
  <si>
    <t xml:space="preserve">City: </t>
  </si>
  <si>
    <t xml:space="preserve">Zip Code: </t>
  </si>
  <si>
    <t xml:space="preserve">     Signature of the Electrician:  </t>
  </si>
  <si>
    <t xml:space="preserve">     Certified Remediation Company: </t>
  </si>
  <si>
    <t xml:space="preserve">Electrician's Printed Name: </t>
  </si>
  <si>
    <t xml:space="preserve">     Inspecting Agent Printed Name: </t>
  </si>
  <si>
    <t xml:space="preserve">     Signature of Inspecting Agent: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</si>
  <si>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</si>
  <si>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Updated for TRM V13.0</t>
  </si>
  <si>
    <t>IQ SF HH</t>
  </si>
  <si>
    <t>Rev 1.C/D</t>
  </si>
  <si>
    <t>Added HVAC test form</t>
  </si>
  <si>
    <t>Revised K&amp;T disclaimer section</t>
  </si>
  <si>
    <t>Rev 1.E</t>
  </si>
  <si>
    <t>Revised WH bill impact calculations for TRM v13.0 IQSF household and .37 multiplier</t>
  </si>
  <si>
    <t>Basement Details</t>
  </si>
  <si>
    <t xml:space="preserve">  Basement Details</t>
  </si>
  <si>
    <t>Unfinished</t>
  </si>
  <si>
    <t>Finished</t>
  </si>
  <si>
    <t>No direct source of heating</t>
  </si>
  <si>
    <t>Heating or return register present</t>
  </si>
  <si>
    <t>Uninsulated Boiler Piping or Radiator</t>
  </si>
  <si>
    <t xml:space="preserve">  Address</t>
  </si>
  <si>
    <t xml:space="preserve">  Tier Level</t>
  </si>
  <si>
    <t xml:space="preserve">  Ameren Illinois</t>
  </si>
  <si>
    <t>Added basement details line to Project Information tab</t>
  </si>
  <si>
    <t>Rev 1.F</t>
  </si>
  <si>
    <t>Continued build on HVAC Test Form</t>
  </si>
  <si>
    <t>Rev 1.G</t>
  </si>
  <si>
    <t xml:space="preserve"> SECTION 4: EQUIPMENT TEST RESULTS SYSTEM 2</t>
  </si>
  <si>
    <t xml:space="preserve"> SECTION 5: TESTING NOTES</t>
  </si>
  <si>
    <t>• HVAC Test Form - Projects that include incentivized HVAC equipment must have this form completed. This applies to Gas Furnaces,</t>
  </si>
  <si>
    <t xml:space="preserve">   Air Conditioner / Heat Pump</t>
  </si>
  <si>
    <t>***ASHP savings was updated for PY24 averages after TRM v12.0 update. Added heat pump standard savings for supplemental unit (furnace/boiler w/heat pump entry).</t>
  </si>
  <si>
    <t>HOME EFFICIENCY INCOME QUALIFIED INITIATIVE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</si>
  <si>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</si>
  <si>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</si>
  <si>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</si>
  <si>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</si>
  <si>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AMEREN ILLINOIS ENERGY EFFICIENCY PROGRAM TERMS AND CONDITIONS ("Terms and Conditions")</t>
  </si>
  <si>
    <t>Program Ally Agreement (“Agreement”)</t>
  </si>
  <si>
    <t>Revised age of equipment formula on Data Entry TR Review tab</t>
  </si>
  <si>
    <t>Includes properly sized air conditioner using Manual J and Manual S, AHRI 15.2 SEER2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</si>
  <si>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Basement Envelope</t>
  </si>
  <si>
    <t>Total SqFt of Facility</t>
  </si>
  <si>
    <t>Ductwork in Unconditoned Space</t>
  </si>
  <si>
    <t>Rev 2.0</t>
  </si>
  <si>
    <t>Revised Natural Gas Furnace/BPM Motor sales price calculations to precisely populate for Tier 2</t>
  </si>
  <si>
    <t>Coded in if system type = blank or None on Project Information tab, populate None</t>
  </si>
  <si>
    <t xml:space="preserve">Updated Building Information section of the tab </t>
  </si>
  <si>
    <t xml:space="preserve">If foundation = Slab, Basement Envelope stays light blue and blank as no entry is required
</t>
  </si>
  <si>
    <t>If foundation = Crawl Space, Basement Envelope highlights bright yellow for entry and Semi-Conditioned</t>
  </si>
  <si>
    <t>If foundation = any other entry, plus basement details, Basement Envelope coded to turn bright yellow and either semi-conditioned or conditioned based on basement details</t>
  </si>
  <si>
    <t>Unlocking the cells that are entered into ALEET</t>
  </si>
  <si>
    <t>Data Entry TR Review tab:</t>
  </si>
  <si>
    <t>Includes properly sized air source heat pump using Manual J and Manual S, AHRI 15.2 SEER2/8.1 HSPF2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</si>
  <si>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NA</t>
  </si>
  <si>
    <t>Updated WH bill analysis tab Dashboard_FS (2) for updated rates</t>
  </si>
  <si>
    <t>Put data validation on capacities for Room AC, Heating System, Cooling System</t>
  </si>
  <si>
    <t>CAC Refrigerant Surchage</t>
  </si>
  <si>
    <t>ASHP Refrigerant Surcharge</t>
  </si>
  <si>
    <t>Surcharge for equipment using the new refrigerant. Eligibility to be confirmed on AHRI listing.</t>
  </si>
  <si>
    <t>Section 3 list</t>
  </si>
  <si>
    <t>Updated program pricing, tier 2 incentives</t>
  </si>
  <si>
    <t>Added CAC &amp; ASHP Refrigerant Surcharge to price sheet and Section 3 drop downs</t>
  </si>
  <si>
    <t>Updated to allow R20-30 attic to R49 for all heating types</t>
  </si>
  <si>
    <t>Attic Insulation
[R20 - R30 to R49 or Greater]</t>
  </si>
  <si>
    <t>Rev 3.0</t>
  </si>
  <si>
    <t xml:space="preserve"> and include in the reservation submittal. </t>
  </si>
  <si>
    <t>Please complete the Energy Audit Inpsection Disclaimers form, provide a copy to the customer,</t>
  </si>
  <si>
    <t>Revised 6/10/2025</t>
  </si>
  <si>
    <t>Updated Tier 3 smart thermostat incentive to $200</t>
  </si>
  <si>
    <t>Rev 3.2</t>
  </si>
  <si>
    <t>Rev 3.1</t>
  </si>
  <si>
    <t>Linked Tier 2 40k furnace incentive to price sheet</t>
  </si>
  <si>
    <t xml:space="preserve">  Household member is age 60 or older, disabled, expectant mother, or age 6 or under child</t>
  </si>
  <si>
    <t>Must be replacement of existing electric water heater. Energy Star Certified - refer to the Energy Star Certified Products List on the Program Ally Resource Page. Installed per manufacturer's recommendations &amp; local code(s) as applicable.</t>
  </si>
  <si>
    <t>Must be replacement of an existing room air conditioner that is not Energy Star certified or is over 10 years old. Energy Star Certified - refer to the Energy Star Certified Products List on the Program Ally Resource Page. Installed per manufacturer's recommendations &amp; local code(s) as applicable. Unit must be installed &amp; window installations must include weatherization of the window. Existing unit(s) must be recycled through Program authorized methods. Incentives limited to the # of bedrooms plus 1, with a maximum of 4. Room air conditioners may be incentivized even when central air is present given this is a replacement of a qualifying existing room a/c &amp; the room the window air conditioner is installed in is not cooled by the central air conditioner.</t>
  </si>
  <si>
    <t>May replace an existing propane fueled clothes dryer. Energy Star Certified - refer to the Energy Star Certified Products List on the Program Ally Resource Page.</t>
  </si>
  <si>
    <t>Updated HVAC program pricing</t>
  </si>
  <si>
    <t>Electrification tab - added smart thermostat into HVAC section totals</t>
  </si>
  <si>
    <t>Added $1000 surcharge for ccASHP</t>
  </si>
  <si>
    <t>Added new refrigerant surcharges</t>
  </si>
  <si>
    <t>Cold Climate Heat Pump Surcharge</t>
  </si>
  <si>
    <t>Surcharge for equipment that has the Cold Climate Designation. Eligibility to be confirmed on AHRI listing.</t>
  </si>
  <si>
    <t>For PY26:</t>
  </si>
  <si>
    <t>Update START HERE tab for forms that need signatures</t>
  </si>
  <si>
    <t>Update START HERE tab to include directive that all work outside of usual program work must be documented with notes/photographs/proposals</t>
  </si>
  <si>
    <t>Implement Warning message in Sections 3 and 4 to include the above if a measure is outside of usual program work</t>
  </si>
  <si>
    <t>Add direct install ally bundle options to top of work scope tab</t>
  </si>
  <si>
    <r>
      <t xml:space="preserve">• Inspection Disclaimer Form - </t>
    </r>
    <r>
      <rPr>
        <b/>
        <sz val="10"/>
        <color theme="1"/>
        <rFont val="Calibri"/>
        <family val="2"/>
        <scheme val="minor"/>
      </rPr>
      <t>Signatures required</t>
    </r>
  </si>
  <si>
    <r>
      <t xml:space="preserve">• Ancillary Costs Form for Tier 1 and Tier 2 applicants - </t>
    </r>
    <r>
      <rPr>
        <b/>
        <sz val="10"/>
        <color theme="1"/>
        <rFont val="Calibri"/>
        <family val="2"/>
        <scheme val="minor"/>
      </rPr>
      <t>Signatures required</t>
    </r>
  </si>
  <si>
    <r>
      <t xml:space="preserve">• Reservation application - </t>
    </r>
    <r>
      <rPr>
        <b/>
        <sz val="10"/>
        <color theme="1"/>
        <rFont val="Calibri"/>
        <family val="2"/>
        <scheme val="minor"/>
      </rPr>
      <t>Signatures required</t>
    </r>
  </si>
  <si>
    <r>
      <t xml:space="preserve">• Incentive application - </t>
    </r>
    <r>
      <rPr>
        <b/>
        <sz val="10"/>
        <color theme="1"/>
        <rFont val="Calibri"/>
        <family val="2"/>
        <scheme val="minor"/>
      </rPr>
      <t>Signatures required</t>
    </r>
  </si>
  <si>
    <t>PY2026 Home Efficiency Workbook</t>
  </si>
  <si>
    <t>PY2026 Electrification Workbook</t>
  </si>
  <si>
    <t>Electrification HVAC Equipment System 1</t>
  </si>
  <si>
    <t>Electrification HVAC Equipment System 2</t>
  </si>
  <si>
    <t>Add Electrification HVAC System 2</t>
  </si>
  <si>
    <t>PY2026 Ancillary Costs Information Form</t>
  </si>
  <si>
    <t>PY2026 Gas to Electric Water Heater Bill Analysis</t>
  </si>
  <si>
    <t xml:space="preserve">                                                  PY26 Home Efficiency - Program Pricing with Incentive Tiers                                                                  </t>
  </si>
  <si>
    <t>PY26 Home Efficiency - Health and Safety Items and Pricing</t>
  </si>
  <si>
    <t>Revise smart thermostat eligible equipment</t>
  </si>
  <si>
    <t>Consider pivot on Energy Star Certified products if ES eliminated 10/9</t>
  </si>
  <si>
    <t>PY26 Air Sealing Tiered Incentives</t>
  </si>
  <si>
    <t>1,2</t>
  </si>
  <si>
    <t>Revised data entry/TR stories field to include a decimal to capture 1.5 and 2.5</t>
  </si>
  <si>
    <t>Update project information and data entry/TR tabs furnace derate formula to 2026</t>
  </si>
  <si>
    <t>see below</t>
  </si>
  <si>
    <t>&lt;500 CFM</t>
  </si>
  <si>
    <t>&lt;1,000 CFM</t>
  </si>
  <si>
    <t>&gt;=1,000 CFM</t>
  </si>
  <si>
    <t>Attic Insulation - R11 or Less 
(Improved to R49 or greater)</t>
  </si>
  <si>
    <t>Attic Insulation - R12-R19 
(Improved to R49 or greater)</t>
  </si>
  <si>
    <t>Attic Insulation - R20-R30 
(Improved to R49 or greater)</t>
  </si>
  <si>
    <t>Revise air sealing to 3 tier incentive: Work Scope, Pricing Tab</t>
  </si>
  <si>
    <t xml:space="preserve">  Gas Boilers, Electric Furnaces, Central Air Conditioners, Ducted and Non-Ducted Air Source Heat Pumps.</t>
  </si>
  <si>
    <t>Smart Thermostats - Energy Star Certified or on the Approved Product List</t>
  </si>
  <si>
    <t>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</si>
  <si>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May replace an existing manual or programmable thermostat. 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</si>
  <si>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Smart Thermostat Approved Product List</t>
  </si>
  <si>
    <t>Revise duct sealing measure? - collect location, leakiness, pre-post r-values? Add to electrification tab.</t>
  </si>
  <si>
    <t>in progress</t>
  </si>
  <si>
    <t>Remove Natural Gas Furnace and CAC as HVAC options</t>
  </si>
  <si>
    <t>HVAC System 1</t>
  </si>
  <si>
    <t>HVAC System 2</t>
  </si>
  <si>
    <t>Cold Climate</t>
  </si>
  <si>
    <t>Decision made to make Tier 2 HVAC Systems incentive = .85 of ally cost in order to accommodate ductless units</t>
  </si>
  <si>
    <t xml:space="preserve">Cold Climate    </t>
  </si>
  <si>
    <t>HVAC System now allows for Ductless Heat Pumps. For Project Score tab, using Ductless Minisplit ER average savings when electric resistance. Using Ductless Minisplit Standard average savings when furnace/boiler.</t>
  </si>
  <si>
    <t>****DHP savings was added for PY26 workbook. Averages 22,23,24, and 25 savings for ER Resistance, ER Heat Pump, and Standard values</t>
  </si>
  <si>
    <r>
      <t xml:space="preserve">Smart Thermostat
</t>
    </r>
    <r>
      <rPr>
        <sz val="7"/>
        <rFont val="Calibri"/>
        <family val="2"/>
        <scheme val="minor"/>
      </rPr>
      <t>[Energy Star Certified/Approved Product List]</t>
    </r>
  </si>
  <si>
    <t>no 10/14</t>
  </si>
  <si>
    <t>Added duct sealing to Electrification tab. Also updated incentive formulas on products.</t>
  </si>
  <si>
    <t>As part of a Program Ally’s participation in the Ameren Illinois Energy Efficiency Residential Program's Initiatives and Channels, Ameren Illinois requires adherence to this Agreement as detailed below. This Agreement ensures both the Residential Program Initiative/Channels and participating Program Ally clearly agree with the expectations of Ameren Illinois and its high standards of integrity, safety and customer service.</t>
  </si>
  <si>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</si>
  <si>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</si>
  <si>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</si>
  <si>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</si>
  <si>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</si>
  <si>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</si>
  <si>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</si>
  <si>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</si>
  <si>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</si>
  <si>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</si>
  <si>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</si>
  <si>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</si>
  <si>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</si>
  <si>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</si>
  <si>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</si>
  <si>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</si>
  <si>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</si>
  <si>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</si>
  <si>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</si>
  <si>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</si>
  <si>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</si>
  <si>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</si>
  <si>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</si>
  <si>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</si>
  <si>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</si>
  <si>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</si>
  <si>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</si>
  <si>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</si>
  <si>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</si>
  <si>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Updated both Customer and Program Ally T&amp;Cs on work scope and disclaimer forms</t>
  </si>
  <si>
    <t>On the page, go to Program &amp; Incentive Information -&gt; Approved Product List -&gt; Smart Thermostat Approved Product List</t>
  </si>
  <si>
    <t>AFUE</t>
  </si>
  <si>
    <t>BPM Motor ER System 1</t>
  </si>
  <si>
    <t>BPM Motor ER System 2</t>
  </si>
  <si>
    <t>Made Natural Gas Furnace an option again</t>
  </si>
  <si>
    <r>
      <rPr>
        <b/>
        <sz val="8"/>
        <color rgb="FF231F20"/>
        <rFont val="Calibri"/>
        <family val="2"/>
      </rPr>
      <t xml:space="preserve">5. Warranty 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</si>
  <si>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t xml:space="preserve">   Furnace</t>
  </si>
  <si>
    <t>Air Temperature Rise</t>
  </si>
  <si>
    <t>Air</t>
  </si>
  <si>
    <t xml:space="preserve">Entry Guide: </t>
  </si>
  <si>
    <t>Required furnace fields</t>
  </si>
  <si>
    <t>Required CAC fields</t>
  </si>
  <si>
    <t>Required ASHP fields</t>
  </si>
  <si>
    <t>Factory Charge Chart *As Applicable</t>
  </si>
  <si>
    <t>Updated HVAC test form with color coded fields for equipment</t>
  </si>
  <si>
    <t>Unhid furnace pricing on PY26 Pricing tab</t>
  </si>
  <si>
    <t>Updated electric and natural gas rates for WH Bill Analysis</t>
  </si>
  <si>
    <t>Removed cost field from ancillary form</t>
  </si>
  <si>
    <t>Strip Heat kW Rating</t>
  </si>
  <si>
    <t>Added Strip Heat kW Rating on heat pumps</t>
  </si>
  <si>
    <t>PY2026 Rev. 4.1</t>
  </si>
  <si>
    <t>Rev 4.1</t>
  </si>
  <si>
    <t>Electric Resistance Baseboard</t>
  </si>
  <si>
    <t>Electric Resistance Furnace</t>
  </si>
  <si>
    <t>Removal Of Existing Un-Fit (Compromised) Insulation</t>
  </si>
  <si>
    <t>Updated Manual J Guidelines</t>
  </si>
  <si>
    <t xml:space="preserve">2.  Indoor design temperatures range is between 72f and 75f for heating and cooling. </t>
  </si>
  <si>
    <t xml:space="preserve">3.  Outdoor design temperature is from the nearest city data in the heat load software. Specifically, 0 and 100 are not acceptable. </t>
  </si>
  <si>
    <t>1.  On June 11, 2026 CoolCalc will no longer be accepted as a heat load software in the Ameren Illinois Energy Efficiency Residential Programs.</t>
  </si>
  <si>
    <t>4.  When a blower door test is performed, the infiltration calculation should be set to blower door and the approximate final blower door measurement should be used.</t>
  </si>
  <si>
    <t>5.  “Floor-over” floor selections are banned for modeling foundations. Foundations (crawl spaces and basements) must be modeled as separate rooms and show above grade wall area, below grade wall area, foundation windows and doors, and foundation floors.</t>
  </si>
  <si>
    <t>6.  Homes with two or more HVAC systems must have both systems modeled on a single load. Infiltration split between areas using area or volume. Follows naming convention for review.</t>
  </si>
  <si>
    <t>7.  Projects with proposed zoning or ductwork changes must have a room-by-room calculation performed and deliver a report that shows CFM per room.</t>
  </si>
  <si>
    <t>8.  Ducted ASHPs should have the total Electric Resistance Heat sized for the entire heat load. This is in case the resistance needs to operate without the ASHP, known as Emergency, or Backup.</t>
  </si>
  <si>
    <t>9.  The amount of Electric Resistance Heat allowed to operate at the same time as the ASHP is limited to the gap between ASHP output and total heat load. This dual operation is known as Supplemental Heat.</t>
  </si>
  <si>
    <t>10.  Ductless ASHP does not require Electric Resistance Heat. If existing Electric Resistance Heat is left in place, then it should be controlled by the Ductless ASHP thermostat.</t>
  </si>
  <si>
    <r>
      <t xml:space="preserve">• Supporting Photographs, Diagrams, and Notes - </t>
    </r>
    <r>
      <rPr>
        <b/>
        <sz val="10"/>
        <color rgb="FFFF0000"/>
        <rFont val="Calibri"/>
        <family val="2"/>
        <scheme val="minor"/>
      </rPr>
      <t>Mandatory for all measures that are not on the HE and H&amp;S PY26 Price tabs</t>
    </r>
  </si>
  <si>
    <t>Added differentiation for electric baseboard/furnace</t>
  </si>
  <si>
    <t>Added Manual J updates</t>
  </si>
  <si>
    <t>Increased rim joist and crawl space incentives</t>
  </si>
  <si>
    <t>Revised Tier 3 incentives</t>
  </si>
  <si>
    <t>ALEET Details Page Information</t>
  </si>
  <si>
    <t>ALEETLine Items Information</t>
  </si>
  <si>
    <t>ALEET kWh</t>
  </si>
  <si>
    <t>ALEET therms</t>
  </si>
  <si>
    <t>ALEET Project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</si>
</sst>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0000"/>
    <numFmt numFmtId="165" formatCode="&quot;$&quot;#,##0.00"/>
    <numFmt numFmtId="166" formatCode="0.0"/>
    <numFmt numFmtId="167" formatCode="0.0%"/>
    <numFmt numFmtId="168" formatCode="_(&quot;$&quot;* #,##0_);_(&quot;$&quot;* \(#,##0\);_(&quot;$&quot;* &quot;-&quot;??_);_(@_)"/>
    <numFmt numFmtId="169" formatCode="&quot;$&quot;#,##0"/>
    <numFmt numFmtId="170" formatCode="0.0_);\(0.0\)"/>
    <numFmt numFmtId="171" formatCode="_(* #,##0_);_(* \(#,##0\);_(* &quot;-&quot;??_);_(@_)"/>
    <numFmt numFmtId="172" formatCode="#&quot; CFM&quot;"/>
    <numFmt numFmtId="173" formatCode="00000"/>
    <numFmt numFmtId="174" formatCode="#,##0.0000"/>
    <numFmt numFmtId="175" formatCode="0.0000000"/>
    <numFmt numFmtId="176" formatCode="[&lt;=9999999]###\-####;\(###\)\ ###\-####"/>
    <numFmt numFmtId="177" formatCode="#,##0.0"/>
  </numFmts>
  <fonts count="115"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sz val="8"/>
      <name val="Calibri"/>
      <family val="2"/>
      <scheme val="minor"/>
    </font>
    <font>
      <b/>
      <sz val="12"/>
      <color theme="1"/>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0"/>
      <color rgb="FF000000"/>
      <name val="Times New Roman"/>
      <family val="1"/>
    </font>
    <font>
      <b/>
      <sz val="12"/>
      <color rgb="FFFFFFFF"/>
      <name val="Calibri"/>
      <family val="2"/>
    </font>
    <font>
      <b/>
      <sz val="10"/>
      <color theme="1"/>
      <name val="Calibri"/>
      <family val="2"/>
      <scheme val="minor"/>
    </font>
    <font>
      <b/>
      <sz val="12"/>
      <color rgb="FF000000"/>
      <name val="Calibri"/>
      <family val="2"/>
      <scheme val="minor"/>
    </font>
    <font>
      <sz val="10"/>
      <color rgb="FF000000"/>
      <name val="Calibri"/>
      <family val="2"/>
      <scheme val="minor"/>
    </font>
    <font>
      <b/>
      <sz val="11"/>
      <color rgb="FF000000"/>
      <name val="Calibri"/>
      <family val="2"/>
      <scheme val="minor"/>
    </font>
    <font>
      <b/>
      <sz val="11"/>
      <color rgb="FF000000"/>
      <name val="Times New Roman"/>
      <family val="1"/>
    </font>
    <font>
      <sz val="9"/>
      <color rgb="FF000000"/>
      <name val="Calibri"/>
      <family val="2"/>
      <scheme val="minor"/>
    </font>
    <font>
      <sz val="8"/>
      <color rgb="FF000000"/>
      <name val="Calibri"/>
      <family val="2"/>
      <scheme val="minor"/>
    </font>
    <font>
      <b/>
      <i/>
      <sz val="9"/>
      <color rgb="FF000000"/>
      <name val="Calibri"/>
      <family val="2"/>
    </font>
    <font>
      <i/>
      <sz val="9"/>
      <color rgb="FF000000"/>
      <name val="Calibri"/>
      <family val="2"/>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u/>
      <sz val="11"/>
      <name val="Calibri"/>
      <family val="2"/>
      <scheme val="minor"/>
    </font>
    <font>
      <sz val="11"/>
      <name val="Calibri"/>
      <family val="2"/>
      <scheme val="minor"/>
    </font>
    <font>
      <sz val="10"/>
      <name val="Arial"/>
      <family val="2"/>
    </font>
    <font>
      <i/>
      <sz val="11"/>
      <name val="Calibri"/>
      <family val="2"/>
      <scheme val="minor"/>
    </font>
    <font>
      <b/>
      <i/>
      <sz val="10"/>
      <name val="Calibri"/>
      <family val="2"/>
      <scheme val="minor"/>
    </font>
    <font>
      <b/>
      <sz val="11"/>
      <color rgb="FFFF0000"/>
      <name val="Calibri"/>
      <family val="2"/>
      <scheme val="minor"/>
    </font>
    <font>
      <sz val="11"/>
      <color rgb="FF000000"/>
      <name val="Calibri"/>
      <family val="2"/>
      <scheme val="minor"/>
    </font>
    <font>
      <sz val="9"/>
      <color indexed="81"/>
      <name val="Tahoma"/>
      <family val="2"/>
    </font>
    <font>
      <b/>
      <sz val="10"/>
      <name val="Calibri"/>
      <family val="2"/>
      <scheme val="minor"/>
    </font>
    <font>
      <b/>
      <sz val="10"/>
      <name val="Calibri"/>
      <family val="2"/>
    </font>
    <font>
      <sz val="10"/>
      <name val="Calibri"/>
      <family val="2"/>
    </font>
    <font>
      <i/>
      <sz val="10"/>
      <name val="Calibri"/>
      <family val="2"/>
      <scheme val="minor"/>
    </font>
    <font>
      <sz val="10"/>
      <name val="Calibri"/>
      <family val="2"/>
      <scheme val="minor"/>
    </font>
    <font>
      <b/>
      <sz val="14"/>
      <color theme="1"/>
      <name val="Calibri"/>
      <family val="2"/>
      <scheme val="minor"/>
    </font>
    <font>
      <sz val="8"/>
      <color theme="0"/>
      <name val="Calibri"/>
      <family val="2"/>
      <scheme val="minor"/>
    </font>
    <font>
      <b/>
      <i/>
      <sz val="10"/>
      <color theme="1"/>
      <name val="Calibri"/>
      <family val="2"/>
      <scheme val="minor"/>
    </font>
    <font>
      <sz val="10"/>
      <color theme="1"/>
      <name val="Univers Condensed"/>
      <family val="2"/>
    </font>
    <font>
      <b/>
      <sz val="16"/>
      <color rgb="FF00B050"/>
      <name val="Arial Rounded MT Bold"/>
      <family val="2"/>
    </font>
    <font>
      <b/>
      <sz val="11"/>
      <color rgb="FF0070C0"/>
      <name val="Calibri"/>
      <family val="2"/>
      <scheme val="minor"/>
    </font>
    <font>
      <b/>
      <u/>
      <sz val="11"/>
      <color theme="1"/>
      <name val="Calibri"/>
      <family val="2"/>
      <scheme val="minor"/>
    </font>
    <font>
      <b/>
      <sz val="12"/>
      <name val="Calibri"/>
      <family val="2"/>
      <scheme val="minor"/>
    </font>
    <font>
      <b/>
      <sz val="10"/>
      <color rgb="FF000000"/>
      <name val="Calibri"/>
      <family val="2"/>
      <scheme val="minor"/>
    </font>
    <font>
      <b/>
      <sz val="10"/>
      <color rgb="FF439539"/>
      <name val="Calibri"/>
      <family val="2"/>
      <scheme val="minor"/>
    </font>
    <font>
      <b/>
      <sz val="10"/>
      <color rgb="FF439539"/>
      <name val="Calibri"/>
      <family val="2"/>
    </font>
    <font>
      <b/>
      <sz val="10"/>
      <color rgb="FFFFC000"/>
      <name val="Calibri"/>
      <family val="2"/>
      <scheme val="minor"/>
    </font>
    <font>
      <b/>
      <sz val="10"/>
      <color rgb="FFFF0000"/>
      <name val="Calibri"/>
      <family val="2"/>
      <scheme val="minor"/>
    </font>
    <font>
      <u/>
      <sz val="10"/>
      <color theme="10"/>
      <name val="Calibri"/>
      <family val="2"/>
      <scheme val="minor"/>
    </font>
    <font>
      <b/>
      <sz val="19"/>
      <color theme="1"/>
      <name val="Calibri"/>
      <family val="2"/>
      <scheme val="minor"/>
    </font>
    <font>
      <sz val="7"/>
      <color theme="1"/>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sz val="8"/>
      <color rgb="FF231F20"/>
      <name val="Calibri"/>
      <family val="2"/>
    </font>
    <font>
      <b/>
      <sz val="8"/>
      <color rgb="FF231F20"/>
      <name val="Calibri"/>
      <family val="2"/>
    </font>
    <font>
      <i/>
      <sz val="8"/>
      <color rgb="FF231F20"/>
      <name val="Calibri"/>
      <family val="2"/>
    </font>
    <font>
      <sz val="8"/>
      <name val="Calibri"/>
      <family val="2"/>
    </font>
    <font>
      <sz val="9"/>
      <color rgb="FF231F20"/>
      <name val="Century Gothic"/>
      <family val="2"/>
    </font>
    <font>
      <i/>
      <sz val="8"/>
      <color theme="1"/>
      <name val="Calibri"/>
      <family val="2"/>
      <scheme val="minor"/>
    </font>
    <font>
      <b/>
      <sz val="18"/>
      <color theme="1"/>
      <name val="Arial"/>
      <family val="2"/>
    </font>
    <font>
      <b/>
      <sz val="16"/>
      <color theme="1"/>
      <name val="Arial"/>
      <family val="2"/>
    </font>
    <font>
      <sz val="7.9"/>
      <color theme="1"/>
      <name val="Calibri"/>
      <family val="2"/>
      <scheme val="minor"/>
    </font>
    <font>
      <b/>
      <sz val="8"/>
      <color theme="0"/>
      <name val="Calibri"/>
      <family val="2"/>
      <scheme val="minor"/>
    </font>
    <font>
      <b/>
      <sz val="8"/>
      <color rgb="FF439539"/>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6"/>
      <color theme="1"/>
      <name val="Calibri"/>
      <family val="2"/>
      <scheme val="minor"/>
    </font>
    <font>
      <sz val="8"/>
      <color theme="1"/>
      <name val="Calibri"/>
      <family val="2"/>
    </font>
    <font>
      <b/>
      <sz val="9"/>
      <color indexed="81"/>
      <name val="Tahoma"/>
      <family val="2"/>
    </font>
    <font>
      <i/>
      <sz val="9"/>
      <color rgb="FF231F20"/>
      <name val="Times New Roman"/>
      <family val="1"/>
    </font>
    <font>
      <b/>
      <sz val="8"/>
      <color rgb="FFFF0000"/>
      <name val="Calibri"/>
      <family val="2"/>
      <scheme val="minor"/>
    </font>
    <font>
      <sz val="10"/>
      <color rgb="FF439539"/>
      <name val="Calibri"/>
      <family val="2"/>
      <scheme val="minor"/>
    </font>
    <font>
      <sz val="7"/>
      <name val="Calibri"/>
      <family val="2"/>
      <scheme val="minor"/>
    </font>
    <font>
      <i/>
      <vertAlign val="subscript"/>
      <sz val="8"/>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indexed="8"/>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i/>
      <sz val="10"/>
      <color theme="1"/>
      <name val="Calibri"/>
      <family val="2"/>
      <scheme val="minor"/>
    </font>
    <font>
      <sz val="11"/>
      <color rgb="FFDDDDDD"/>
      <name val="Calibri"/>
      <family val="2"/>
      <scheme val="minor"/>
    </font>
    <font>
      <b/>
      <i/>
      <sz val="8"/>
      <color rgb="FF000000"/>
      <name val="Calibri"/>
      <family val="2"/>
    </font>
    <font>
      <b/>
      <sz val="12"/>
      <color rgb="FF231F20"/>
      <name val="Calibri"/>
      <family val="2"/>
      <scheme val="minor"/>
    </font>
    <font>
      <b/>
      <sz val="11"/>
      <color rgb="FF231F20"/>
      <name val="Calibri"/>
      <family val="2"/>
      <scheme val="minor"/>
    </font>
    <font>
      <strike/>
      <sz val="11"/>
      <color theme="1"/>
      <name val="Calibri"/>
      <family val="2"/>
      <scheme val="minor"/>
    </font>
  </fonts>
  <fills count="33">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FEBC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D"/>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FF"/>
        <bgColor rgb="FF008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3"/>
        <bgColor indexed="64"/>
      </patternFill>
    </fill>
    <fill>
      <patternFill patternType="solid">
        <fgColor theme="3" tint="0.39997558519241921"/>
        <bgColor indexed="64"/>
      </patternFill>
    </fill>
    <fill>
      <patternFill patternType="solid">
        <fgColor rgb="FFFFDDDD"/>
        <bgColor indexed="64"/>
      </patternFill>
    </fill>
    <fill>
      <patternFill patternType="solid">
        <fgColor rgb="FFFFD9D9"/>
        <bgColor indexed="64"/>
      </patternFill>
    </fill>
    <fill>
      <patternFill patternType="solid">
        <fgColor rgb="FF9BFFFF"/>
        <bgColor indexed="64"/>
      </patternFill>
    </fill>
    <fill>
      <patternFill patternType="solid">
        <fgColor rgb="FFCCCCFF"/>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auto="1"/>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thin">
        <color indexed="64"/>
      </right>
      <top style="double">
        <color indexed="64"/>
      </top>
      <bottom style="medium">
        <color auto="1"/>
      </bottom>
      <diagonal/>
    </border>
    <border>
      <left/>
      <right style="thin">
        <color theme="0" tint="-0.249977111117893"/>
      </right>
      <top/>
      <bottom style="thin">
        <color auto="1"/>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auto="1"/>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auto="1"/>
      </top>
      <bottom style="thin">
        <color indexed="64"/>
      </bottom>
      <diagonal/>
    </border>
    <border>
      <left style="thin">
        <color auto="1"/>
      </left>
      <right style="thin">
        <color theme="0" tint="-0.249977111117893"/>
      </right>
      <top/>
      <bottom style="thin">
        <color indexed="64"/>
      </bottom>
      <diagonal/>
    </border>
    <border>
      <left style="thin">
        <color indexed="64"/>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439539"/>
      </left>
      <right/>
      <top/>
      <bottom/>
      <diagonal/>
    </border>
    <border>
      <left/>
      <right style="thin">
        <color rgb="FF439539"/>
      </right>
      <top/>
      <bottom/>
      <diagonal/>
    </border>
    <border>
      <left/>
      <right/>
      <top/>
      <bottom style="double">
        <color indexed="64"/>
      </bottom>
      <diagonal/>
    </border>
    <border>
      <left style="thin">
        <color rgb="FF439539"/>
      </left>
      <right/>
      <top/>
      <bottom style="thin">
        <color indexed="64"/>
      </bottom>
      <diagonal/>
    </border>
    <border>
      <left/>
      <right style="thin">
        <color rgb="FF439539"/>
      </right>
      <top/>
      <bottom style="thin">
        <color indexed="64"/>
      </bottom>
      <diagonal/>
    </border>
    <border>
      <left/>
      <right/>
      <top style="double">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thin">
        <color rgb="FF439539"/>
      </left>
      <right/>
      <top style="thin">
        <color indexed="64"/>
      </top>
      <bottom/>
      <diagonal/>
    </border>
    <border>
      <left style="thin">
        <color indexed="64"/>
      </left>
      <right/>
      <top/>
      <bottom style="thin">
        <color rgb="FF439539"/>
      </bottom>
      <diagonal/>
    </border>
    <border>
      <left style="thin">
        <color indexed="64"/>
      </left>
      <right/>
      <top style="thin">
        <color rgb="FF439539"/>
      </top>
      <bottom/>
      <diagonal/>
    </border>
    <border>
      <left style="thin">
        <color indexed="64"/>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C0C0C0"/>
      </left>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style="thin">
        <color theme="0" tint="-0.34998626667073579"/>
      </bottom>
      <diagonal/>
    </border>
    <border>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medium">
        <color auto="1"/>
      </right>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style="medium">
        <color auto="1"/>
      </right>
      <top style="thin">
        <color theme="0" tint="-0.34998626667073579"/>
      </top>
      <bottom/>
      <diagonal/>
    </border>
    <border>
      <left style="medium">
        <color indexed="64"/>
      </left>
      <right/>
      <top/>
      <bottom style="thin">
        <color theme="0" tint="-0.34998626667073579"/>
      </bottom>
      <diagonal/>
    </border>
    <border>
      <left/>
      <right/>
      <top/>
      <bottom style="medium">
        <color rgb="FF439539"/>
      </bottom>
      <diagonal/>
    </border>
    <border>
      <left style="thin">
        <color theme="0" tint="-0.249977111117893"/>
      </left>
      <right/>
      <top style="thin">
        <color indexed="64"/>
      </top>
      <bottom/>
      <diagonal/>
    </border>
    <border>
      <left style="thin">
        <color theme="0" tint="-0.249977111117893"/>
      </left>
      <right/>
      <top/>
      <bottom/>
      <diagonal/>
    </border>
    <border>
      <left style="thin">
        <color indexed="64"/>
      </left>
      <right/>
      <top style="double">
        <color indexed="64"/>
      </top>
      <bottom style="medium">
        <color auto="1"/>
      </bottom>
      <diagonal/>
    </border>
    <border>
      <left/>
      <right style="medium">
        <color auto="1"/>
      </right>
      <top style="double">
        <color indexed="64"/>
      </top>
      <bottom style="medium">
        <color auto="1"/>
      </bottom>
      <diagonal/>
    </border>
    <border>
      <left style="thin">
        <color indexed="64"/>
      </left>
      <right/>
      <top style="thin">
        <color indexed="64"/>
      </top>
      <bottom style="medium">
        <color auto="1"/>
      </bottom>
      <diagonal/>
    </border>
    <border>
      <left/>
      <right/>
      <top style="medium">
        <color rgb="FF439539"/>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s>
  <cellStyleXfs count="13">
    <xf numFmtId="0" fontId="0" fillId="0" borderId="0"/>
    <xf numFmtId="0" fontId="11"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xf numFmtId="0" fontId="37" fillId="0" borderId="0"/>
    <xf numFmtId="43" fontId="15"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2" fillId="25" borderId="118" applyNumberFormat="0" applyAlignment="0" applyProtection="0"/>
    <xf numFmtId="0" fontId="103" fillId="26" borderId="119" applyNumberFormat="0" applyAlignment="0" applyProtection="0"/>
    <xf numFmtId="0" fontId="104" fillId="26" borderId="118" applyNumberFormat="0" applyAlignment="0" applyProtection="0"/>
    <xf numFmtId="0" fontId="105" fillId="0" borderId="0"/>
  </cellStyleXfs>
  <cellXfs count="2065">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3" fillId="0" borderId="0" xfId="0" applyFont="1" applyAlignment="1">
      <alignment wrapText="1"/>
    </xf>
    <xf numFmtId="0" fontId="0" fillId="0" borderId="0" xfId="0" applyAlignment="1">
      <alignment horizontal="center"/>
    </xf>
    <xf numFmtId="0" fontId="1" fillId="0" borderId="0" xfId="0" applyFont="1"/>
    <xf numFmtId="9" fontId="0" fillId="0" borderId="0" xfId="0" applyNumberFormat="1"/>
    <xf numFmtId="0" fontId="0" fillId="0" borderId="0" xfId="0" quotePrefix="1" applyAlignment="1">
      <alignment horizontal="center"/>
    </xf>
    <xf numFmtId="167" fontId="0" fillId="0" borderId="0" xfId="0" quotePrefix="1" applyNumberFormat="1" applyAlignment="1">
      <alignment horizontal="center"/>
    </xf>
    <xf numFmtId="167" fontId="0" fillId="0" borderId="0" xfId="0" applyNumberFormat="1"/>
    <xf numFmtId="0" fontId="0" fillId="0" borderId="0" xfId="0" applyAlignment="1">
      <alignment horizontal="left"/>
    </xf>
    <xf numFmtId="0" fontId="0" fillId="0" borderId="0" xfId="0" quotePrefix="1"/>
    <xf numFmtId="44" fontId="0" fillId="0" borderId="0" xfId="2" applyFont="1"/>
    <xf numFmtId="167" fontId="0" fillId="0" borderId="0" xfId="3" applyNumberFormat="1" applyFont="1"/>
    <xf numFmtId="44" fontId="0" fillId="0" borderId="0" xfId="0" applyNumberFormat="1"/>
    <xf numFmtId="0" fontId="16" fillId="0" borderId="0" xfId="0" applyFont="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6" fillId="0" borderId="0" xfId="0" applyFont="1"/>
    <xf numFmtId="0" fontId="16" fillId="0" borderId="0" xfId="0" applyFont="1" applyAlignment="1">
      <alignment vertical="center"/>
    </xf>
    <xf numFmtId="0" fontId="0" fillId="0" borderId="17" xfId="0" applyBorder="1" applyAlignment="1">
      <alignment horizontal="center" vertical="center"/>
    </xf>
    <xf numFmtId="14" fontId="0" fillId="0" borderId="0" xfId="0" applyNumberFormat="1"/>
    <xf numFmtId="44" fontId="1" fillId="4" borderId="1" xfId="2" applyFont="1" applyFill="1" applyBorder="1" applyAlignment="1">
      <alignment horizontal="center" wrapText="1"/>
    </xf>
    <xf numFmtId="44" fontId="1" fillId="7" borderId="1" xfId="2" applyFont="1" applyFill="1" applyBorder="1" applyAlignment="1">
      <alignment horizontal="center" wrapText="1"/>
    </xf>
    <xf numFmtId="44" fontId="1" fillId="8" borderId="1" xfId="2" applyFont="1" applyFill="1" applyBorder="1" applyAlignment="1">
      <alignment horizontal="center" wrapText="1"/>
    </xf>
    <xf numFmtId="0" fontId="1" fillId="9"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32" fillId="3" borderId="2" xfId="0" applyFont="1" applyFill="1" applyBorder="1" applyAlignment="1">
      <alignment vertical="center"/>
    </xf>
    <xf numFmtId="44" fontId="33" fillId="3" borderId="17" xfId="2" applyFont="1" applyFill="1" applyBorder="1" applyAlignment="1">
      <alignment wrapText="1"/>
    </xf>
    <xf numFmtId="44" fontId="33" fillId="3" borderId="17" xfId="2" applyFont="1" applyFill="1" applyBorder="1" applyAlignment="1">
      <alignment horizontal="center" wrapText="1"/>
    </xf>
    <xf numFmtId="0" fontId="33" fillId="3" borderId="17" xfId="0" applyFont="1" applyFill="1" applyBorder="1" applyAlignment="1">
      <alignment horizontal="center" wrapText="1"/>
    </xf>
    <xf numFmtId="0" fontId="33" fillId="3" borderId="3" xfId="0" applyFont="1" applyFill="1" applyBorder="1" applyAlignment="1">
      <alignment wrapText="1"/>
    </xf>
    <xf numFmtId="0" fontId="33" fillId="0" borderId="0" xfId="0" applyFont="1" applyAlignment="1">
      <alignment wrapText="1"/>
    </xf>
    <xf numFmtId="44" fontId="1" fillId="4" borderId="10" xfId="2" applyFont="1" applyFill="1" applyBorder="1" applyAlignment="1">
      <alignment vertical="center"/>
    </xf>
    <xf numFmtId="44" fontId="1" fillId="7" borderId="58" xfId="2" applyFont="1" applyFill="1" applyBorder="1" applyAlignment="1">
      <alignment vertical="center"/>
    </xf>
    <xf numFmtId="44" fontId="1" fillId="8" borderId="59" xfId="2" applyFont="1" applyFill="1" applyBorder="1" applyAlignment="1">
      <alignment vertical="center"/>
    </xf>
    <xf numFmtId="44" fontId="1" fillId="8" borderId="61" xfId="2" applyFont="1" applyFill="1" applyBorder="1" applyAlignment="1">
      <alignment vertical="center" wrapText="1"/>
    </xf>
    <xf numFmtId="44" fontId="1" fillId="9" borderId="61" xfId="2" applyFont="1" applyFill="1" applyBorder="1" applyAlignment="1">
      <alignment horizontal="center" vertical="center" wrapText="1"/>
    </xf>
    <xf numFmtId="0" fontId="0" fillId="4" borderId="62" xfId="0" applyFill="1" applyBorder="1" applyAlignment="1">
      <alignment horizontal="center" vertical="center" wrapText="1"/>
    </xf>
    <xf numFmtId="0" fontId="0" fillId="4" borderId="3" xfId="0" applyFill="1" applyBorder="1" applyAlignment="1">
      <alignment vertical="center" wrapText="1"/>
    </xf>
    <xf numFmtId="0" fontId="0" fillId="0" borderId="0" xfId="0" applyAlignment="1">
      <alignment wrapText="1"/>
    </xf>
    <xf numFmtId="0" fontId="0" fillId="4" borderId="17" xfId="0" applyFill="1" applyBorder="1" applyAlignment="1">
      <alignment horizontal="center" vertical="center" wrapText="1"/>
    </xf>
    <xf numFmtId="44" fontId="1" fillId="7" borderId="63" xfId="2" applyFont="1" applyFill="1" applyBorder="1" applyAlignment="1">
      <alignment vertical="center"/>
    </xf>
    <xf numFmtId="0" fontId="36" fillId="4" borderId="3" xfId="0" applyFont="1" applyFill="1" applyBorder="1" applyAlignment="1">
      <alignment vertical="top" wrapText="1"/>
    </xf>
    <xf numFmtId="0" fontId="0" fillId="4" borderId="3" xfId="0" applyFill="1" applyBorder="1" applyAlignment="1">
      <alignment wrapText="1"/>
    </xf>
    <xf numFmtId="44" fontId="1" fillId="4" borderId="0" xfId="2" applyFont="1" applyFill="1" applyBorder="1" applyAlignment="1">
      <alignment vertical="center"/>
    </xf>
    <xf numFmtId="44" fontId="1" fillId="7" borderId="0" xfId="2" applyFont="1" applyFill="1" applyBorder="1" applyAlignment="1">
      <alignment vertical="center"/>
    </xf>
    <xf numFmtId="0" fontId="1" fillId="8" borderId="0" xfId="0" applyFont="1" applyFill="1" applyAlignment="1">
      <alignment wrapText="1"/>
    </xf>
    <xf numFmtId="0" fontId="1" fillId="9" borderId="0" xfId="0" applyFont="1" applyFill="1" applyAlignment="1">
      <alignment wrapText="1"/>
    </xf>
    <xf numFmtId="0" fontId="0" fillId="0" borderId="35" xfId="0" applyBorder="1"/>
    <xf numFmtId="0" fontId="0" fillId="0" borderId="65" xfId="0" applyBorder="1"/>
    <xf numFmtId="44" fontId="34" fillId="7" borderId="61" xfId="2" applyFont="1" applyFill="1" applyBorder="1" applyAlignment="1">
      <alignment vertical="center"/>
    </xf>
    <xf numFmtId="44" fontId="34" fillId="8" borderId="61" xfId="2" applyFont="1" applyFill="1" applyBorder="1" applyAlignment="1">
      <alignment vertical="center"/>
    </xf>
    <xf numFmtId="44" fontId="34" fillId="9" borderId="61" xfId="2" applyFont="1" applyFill="1" applyBorder="1" applyAlignment="1">
      <alignment horizontal="center" vertical="center"/>
    </xf>
    <xf numFmtId="0" fontId="36" fillId="0" borderId="17" xfId="0" applyFont="1" applyBorder="1" applyAlignment="1">
      <alignment horizontal="center" vertical="center"/>
    </xf>
    <xf numFmtId="0" fontId="36" fillId="0" borderId="3" xfId="0" applyFont="1" applyBorder="1" applyAlignment="1">
      <alignment vertical="center" wrapText="1"/>
    </xf>
    <xf numFmtId="0" fontId="0" fillId="0" borderId="17" xfId="0" applyBorder="1" applyAlignment="1">
      <alignment horizontal="center" vertical="center" wrapText="1"/>
    </xf>
    <xf numFmtId="44" fontId="34" fillId="7" borderId="60" xfId="2" applyFont="1" applyFill="1" applyBorder="1" applyAlignment="1">
      <alignment vertical="center"/>
    </xf>
    <xf numFmtId="44" fontId="34" fillId="8" borderId="60" xfId="2" applyFont="1" applyFill="1" applyBorder="1" applyAlignment="1">
      <alignment vertical="center"/>
    </xf>
    <xf numFmtId="44" fontId="34" fillId="9" borderId="60" xfId="2" applyFont="1" applyFill="1" applyBorder="1" applyAlignment="1">
      <alignment horizontal="center" vertical="center"/>
    </xf>
    <xf numFmtId="0" fontId="36" fillId="0" borderId="10" xfId="0" applyFont="1" applyBorder="1" applyAlignment="1">
      <alignment horizontal="center" vertical="center"/>
    </xf>
    <xf numFmtId="0" fontId="36" fillId="0" borderId="19" xfId="0" applyFont="1" applyBorder="1" applyAlignment="1">
      <alignment vertical="center" wrapText="1"/>
    </xf>
    <xf numFmtId="44" fontId="1" fillId="7" borderId="61" xfId="2" applyFont="1" applyFill="1" applyBorder="1" applyAlignment="1">
      <alignment vertical="center"/>
    </xf>
    <xf numFmtId="44" fontId="1" fillId="8" borderId="61" xfId="2" applyFont="1" applyFill="1" applyBorder="1" applyAlignment="1">
      <alignment vertical="center"/>
    </xf>
    <xf numFmtId="44" fontId="1" fillId="9" borderId="61" xfId="2"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center" wrapText="1"/>
    </xf>
    <xf numFmtId="44" fontId="34" fillId="4" borderId="10" xfId="2" applyFont="1" applyFill="1" applyBorder="1" applyAlignment="1">
      <alignment vertical="center"/>
    </xf>
    <xf numFmtId="44" fontId="34" fillId="7" borderId="61" xfId="5" applyNumberFormat="1" applyFont="1" applyFill="1" applyBorder="1" applyAlignment="1">
      <alignment vertical="center" wrapText="1"/>
    </xf>
    <xf numFmtId="44" fontId="34" fillId="8" borderId="61" xfId="5" applyNumberFormat="1" applyFont="1" applyFill="1" applyBorder="1" applyAlignment="1">
      <alignment vertical="center" wrapText="1"/>
    </xf>
    <xf numFmtId="44" fontId="34" fillId="9" borderId="61" xfId="5" applyNumberFormat="1" applyFont="1" applyFill="1" applyBorder="1" applyAlignment="1">
      <alignment horizontal="center" vertical="center" wrapText="1"/>
    </xf>
    <xf numFmtId="0" fontId="36" fillId="0" borderId="3" xfId="5" applyFont="1" applyBorder="1" applyAlignment="1">
      <alignment horizontal="left" vertical="center" wrapText="1"/>
    </xf>
    <xf numFmtId="44" fontId="34" fillId="7" borderId="61" xfId="5" applyNumberFormat="1" applyFont="1" applyFill="1" applyBorder="1" applyAlignment="1">
      <alignment vertical="center"/>
    </xf>
    <xf numFmtId="44" fontId="34" fillId="8" borderId="61" xfId="5" applyNumberFormat="1" applyFont="1" applyFill="1" applyBorder="1" applyAlignment="1">
      <alignment vertical="center"/>
    </xf>
    <xf numFmtId="44" fontId="34" fillId="9" borderId="61" xfId="5" applyNumberFormat="1" applyFont="1" applyFill="1" applyBorder="1" applyAlignment="1">
      <alignment horizontal="center" vertical="center"/>
    </xf>
    <xf numFmtId="44" fontId="1" fillId="4" borderId="61" xfId="2" applyFont="1" applyFill="1" applyBorder="1" applyAlignment="1">
      <alignment vertical="center"/>
    </xf>
    <xf numFmtId="44" fontId="34" fillId="4" borderId="61" xfId="2" applyFont="1" applyFill="1" applyBorder="1" applyAlignment="1">
      <alignment vertical="center"/>
    </xf>
    <xf numFmtId="44" fontId="1" fillId="7" borderId="17" xfId="2" applyFont="1" applyFill="1" applyBorder="1" applyAlignment="1">
      <alignment vertical="center"/>
    </xf>
    <xf numFmtId="44" fontId="1" fillId="8" borderId="17" xfId="2" applyFont="1" applyFill="1" applyBorder="1" applyAlignment="1">
      <alignment vertical="center"/>
    </xf>
    <xf numFmtId="44" fontId="1" fillId="9" borderId="17" xfId="2" applyFont="1" applyFill="1" applyBorder="1" applyAlignment="1">
      <alignment horizontal="center" vertical="center"/>
    </xf>
    <xf numFmtId="0" fontId="0" fillId="10" borderId="2" xfId="0" applyFill="1" applyBorder="1" applyAlignment="1">
      <alignment vertical="center"/>
    </xf>
    <xf numFmtId="168" fontId="1" fillId="10" borderId="17" xfId="2" applyNumberFormat="1" applyFont="1" applyFill="1" applyBorder="1" applyAlignment="1">
      <alignment vertical="center"/>
    </xf>
    <xf numFmtId="168" fontId="1" fillId="10" borderId="17" xfId="2" applyNumberFormat="1" applyFont="1" applyFill="1" applyBorder="1" applyAlignment="1">
      <alignment horizontal="center" vertical="center"/>
    </xf>
    <xf numFmtId="0" fontId="0" fillId="10" borderId="17" xfId="0" applyFill="1" applyBorder="1" applyAlignment="1">
      <alignment horizontal="center" vertical="center"/>
    </xf>
    <xf numFmtId="0" fontId="0" fillId="10" borderId="3" xfId="0" applyFill="1" applyBorder="1" applyAlignment="1">
      <alignment vertical="center" wrapText="1"/>
    </xf>
    <xf numFmtId="44" fontId="0" fillId="0" borderId="0" xfId="0" applyNumberFormat="1" applyAlignment="1">
      <alignment vertical="center"/>
    </xf>
    <xf numFmtId="168" fontId="1" fillId="4" borderId="10" xfId="2" applyNumberFormat="1" applyFont="1" applyFill="1" applyBorder="1" applyAlignment="1">
      <alignment vertical="center"/>
    </xf>
    <xf numFmtId="168" fontId="1" fillId="7" borderId="60" xfId="2" applyNumberFormat="1" applyFont="1" applyFill="1" applyBorder="1" applyAlignment="1">
      <alignment vertical="center"/>
    </xf>
    <xf numFmtId="168" fontId="1" fillId="8" borderId="60" xfId="2" applyNumberFormat="1" applyFont="1" applyFill="1" applyBorder="1" applyAlignment="1">
      <alignment vertical="center"/>
    </xf>
    <xf numFmtId="0" fontId="0" fillId="0" borderId="0" xfId="0" applyAlignment="1">
      <alignment horizontal="center" wrapText="1"/>
    </xf>
    <xf numFmtId="168" fontId="1" fillId="4" borderId="0" xfId="2" applyNumberFormat="1" applyFont="1" applyFill="1" applyBorder="1" applyAlignment="1">
      <alignment vertical="center"/>
    </xf>
    <xf numFmtId="168" fontId="1" fillId="7" borderId="66" xfId="2" applyNumberFormat="1" applyFont="1" applyFill="1" applyBorder="1" applyAlignment="1">
      <alignment vertical="center"/>
    </xf>
    <xf numFmtId="168" fontId="1" fillId="8" borderId="66" xfId="2" applyNumberFormat="1" applyFont="1" applyFill="1" applyBorder="1" applyAlignment="1">
      <alignment vertical="center"/>
    </xf>
    <xf numFmtId="0" fontId="0" fillId="10" borderId="2" xfId="0" applyFill="1" applyBorder="1" applyAlignment="1">
      <alignment vertical="center" wrapText="1"/>
    </xf>
    <xf numFmtId="0" fontId="1" fillId="10" borderId="17" xfId="0" applyFont="1" applyFill="1" applyBorder="1" applyAlignment="1">
      <alignment vertical="center" wrapText="1"/>
    </xf>
    <xf numFmtId="0" fontId="1" fillId="10" borderId="17" xfId="0" applyFont="1" applyFill="1" applyBorder="1" applyAlignment="1">
      <alignment horizontal="center" vertical="center" wrapText="1"/>
    </xf>
    <xf numFmtId="0" fontId="0" fillId="10" borderId="17" xfId="0" applyFill="1" applyBorder="1" applyAlignment="1">
      <alignment vertical="center" wrapText="1"/>
    </xf>
    <xf numFmtId="0" fontId="0" fillId="0" borderId="65" xfId="0" applyBorder="1" applyAlignment="1">
      <alignment vertical="center" wrapText="1"/>
    </xf>
    <xf numFmtId="168" fontId="34" fillId="7" borderId="66" xfId="2" applyNumberFormat="1" applyFont="1" applyFill="1" applyBorder="1" applyAlignment="1">
      <alignment vertical="center"/>
    </xf>
    <xf numFmtId="168" fontId="34" fillId="9" borderId="66" xfId="2" applyNumberFormat="1"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vertical="center" wrapText="1"/>
    </xf>
    <xf numFmtId="168" fontId="1" fillId="7" borderId="59" xfId="2" applyNumberFormat="1" applyFont="1" applyFill="1" applyBorder="1" applyAlignment="1">
      <alignment vertical="center"/>
    </xf>
    <xf numFmtId="168" fontId="1" fillId="8" borderId="10" xfId="2" applyNumberFormat="1" applyFont="1" applyFill="1" applyBorder="1" applyAlignment="1">
      <alignment vertical="center"/>
    </xf>
    <xf numFmtId="44" fontId="1" fillId="4" borderId="4" xfId="2" applyFont="1" applyFill="1" applyBorder="1" applyAlignment="1">
      <alignment vertical="center"/>
    </xf>
    <xf numFmtId="44" fontId="1" fillId="7" borderId="4" xfId="2" applyFont="1" applyFill="1" applyBorder="1" applyAlignment="1">
      <alignment horizontal="center" vertical="center"/>
    </xf>
    <xf numFmtId="44" fontId="1" fillId="8" borderId="4" xfId="2" applyFont="1" applyFill="1" applyBorder="1" applyAlignment="1">
      <alignment horizontal="center" vertical="center"/>
    </xf>
    <xf numFmtId="44" fontId="1" fillId="9" borderId="0" xfId="2" applyFont="1" applyFill="1" applyBorder="1" applyAlignment="1">
      <alignment horizontal="center" vertical="center" wrapText="1"/>
    </xf>
    <xf numFmtId="0" fontId="1" fillId="0" borderId="18" xfId="0" applyFont="1" applyBorder="1" applyAlignment="1">
      <alignment horizontal="left" vertical="center" wrapText="1"/>
    </xf>
    <xf numFmtId="0" fontId="0" fillId="0" borderId="0" xfId="0" applyAlignment="1">
      <alignment vertical="center" wrapText="1"/>
    </xf>
    <xf numFmtId="44" fontId="1" fillId="8" borderId="60" xfId="2" applyFont="1" applyFill="1" applyBorder="1" applyAlignment="1">
      <alignment vertical="center"/>
    </xf>
    <xf numFmtId="44" fontId="1" fillId="8" borderId="0" xfId="2" applyFont="1" applyFill="1" applyBorder="1" applyAlignment="1">
      <alignment vertical="center"/>
    </xf>
    <xf numFmtId="44" fontId="1" fillId="9" borderId="70" xfId="2" applyFont="1" applyFill="1" applyBorder="1" applyAlignment="1">
      <alignment horizontal="center" vertical="center" wrapText="1"/>
    </xf>
    <xf numFmtId="0" fontId="0" fillId="0" borderId="18" xfId="0" applyBorder="1" applyAlignment="1">
      <alignment horizontal="left" vertical="center" wrapText="1"/>
    </xf>
    <xf numFmtId="168" fontId="1" fillId="9" borderId="60" xfId="2" applyNumberFormat="1"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vertical="center" wrapText="1"/>
    </xf>
    <xf numFmtId="168" fontId="1" fillId="7" borderId="71" xfId="2" applyNumberFormat="1" applyFont="1" applyFill="1" applyBorder="1" applyAlignment="1">
      <alignment vertical="center"/>
    </xf>
    <xf numFmtId="168" fontId="1" fillId="8" borderId="61" xfId="2" applyNumberFormat="1" applyFont="1" applyFill="1" applyBorder="1" applyAlignment="1">
      <alignment vertical="center"/>
    </xf>
    <xf numFmtId="168" fontId="1" fillId="9" borderId="61"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xf>
    <xf numFmtId="0" fontId="0" fillId="0" borderId="10" xfId="0" applyBorder="1" applyAlignment="1">
      <alignment horizontal="center" vertical="center" wrapText="1"/>
    </xf>
    <xf numFmtId="168" fontId="1" fillId="4" borderId="60" xfId="2" applyNumberFormat="1" applyFont="1" applyFill="1" applyBorder="1" applyAlignment="1">
      <alignment horizontal="center" vertical="center"/>
    </xf>
    <xf numFmtId="168" fontId="1" fillId="7" borderId="60" xfId="2" applyNumberFormat="1" applyFont="1" applyFill="1" applyBorder="1" applyAlignment="1">
      <alignment horizontal="center" vertical="center"/>
    </xf>
    <xf numFmtId="168" fontId="1" fillId="8" borderId="60"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wrapText="1"/>
    </xf>
    <xf numFmtId="44" fontId="34" fillId="7" borderId="17" xfId="2" applyFont="1" applyFill="1" applyBorder="1" applyAlignment="1">
      <alignment vertical="center"/>
    </xf>
    <xf numFmtId="44" fontId="34" fillId="8" borderId="17" xfId="2" applyFont="1" applyFill="1" applyBorder="1" applyAlignment="1">
      <alignment vertical="center"/>
    </xf>
    <xf numFmtId="44" fontId="34" fillId="9" borderId="17" xfId="2" applyFont="1" applyFill="1" applyBorder="1" applyAlignment="1">
      <alignment horizontal="center" vertical="center"/>
    </xf>
    <xf numFmtId="0" fontId="34" fillId="0" borderId="3" xfId="0" applyFont="1" applyBorder="1" applyAlignment="1">
      <alignment vertical="center" wrapText="1"/>
    </xf>
    <xf numFmtId="44" fontId="0" fillId="0" borderId="0" xfId="2" applyFont="1" applyAlignment="1">
      <alignment horizontal="center"/>
    </xf>
    <xf numFmtId="0" fontId="0" fillId="0" borderId="0" xfId="0" applyAlignment="1">
      <alignment horizontal="right"/>
    </xf>
    <xf numFmtId="0" fontId="0" fillId="10" borderId="0" xfId="0" applyFill="1" applyAlignment="1">
      <alignment vertical="center"/>
    </xf>
    <xf numFmtId="3" fontId="0" fillId="0" borderId="35" xfId="0" applyNumberFormat="1" applyBorder="1"/>
    <xf numFmtId="168" fontId="1" fillId="0" borderId="0" xfId="2" applyNumberFormat="1" applyFont="1" applyFill="1" applyBorder="1" applyAlignment="1">
      <alignment vertical="center"/>
    </xf>
    <xf numFmtId="3" fontId="0" fillId="0" borderId="0" xfId="0" applyNumberFormat="1"/>
    <xf numFmtId="168" fontId="1" fillId="8" borderId="0" xfId="2" applyNumberFormat="1" applyFont="1" applyFill="1" applyBorder="1" applyAlignment="1">
      <alignment vertical="center"/>
    </xf>
    <xf numFmtId="3" fontId="0" fillId="0" borderId="35" xfId="0" applyNumberFormat="1" applyBorder="1" applyAlignment="1">
      <alignment wrapText="1"/>
    </xf>
    <xf numFmtId="3" fontId="0" fillId="0" borderId="65" xfId="0" applyNumberFormat="1" applyBorder="1" applyAlignment="1">
      <alignment wrapText="1"/>
    </xf>
    <xf numFmtId="0" fontId="0" fillId="10" borderId="0" xfId="0" applyFill="1" applyAlignment="1">
      <alignment vertical="center" wrapText="1"/>
    </xf>
    <xf numFmtId="3" fontId="0" fillId="0" borderId="35" xfId="0" applyNumberFormat="1" applyBorder="1" applyAlignment="1">
      <alignment vertical="center" wrapText="1"/>
    </xf>
    <xf numFmtId="3" fontId="0" fillId="0" borderId="65" xfId="0" applyNumberFormat="1" applyBorder="1" applyAlignment="1">
      <alignment vertical="center" wrapText="1"/>
    </xf>
    <xf numFmtId="165" fontId="19" fillId="0" borderId="0" xfId="0" applyNumberFormat="1" applyFont="1" applyAlignment="1">
      <alignment vertical="center"/>
    </xf>
    <xf numFmtId="169" fontId="1" fillId="0" borderId="0" xfId="0" applyNumberFormat="1" applyFont="1"/>
    <xf numFmtId="42" fontId="1" fillId="8" borderId="60" xfId="2" applyNumberFormat="1" applyFont="1" applyFill="1" applyBorder="1" applyAlignment="1">
      <alignment vertical="center"/>
    </xf>
    <xf numFmtId="0" fontId="31" fillId="4" borderId="0" xfId="0" applyFont="1" applyFill="1" applyAlignment="1">
      <alignment vertical="center"/>
    </xf>
    <xf numFmtId="0" fontId="31" fillId="0" borderId="0" xfId="0" quotePrefix="1" applyFont="1" applyAlignment="1">
      <alignment vertical="center"/>
    </xf>
    <xf numFmtId="0" fontId="31" fillId="0" borderId="0" xfId="0" applyFont="1" applyAlignment="1">
      <alignment vertical="center"/>
    </xf>
    <xf numFmtId="0" fontId="4" fillId="0" borderId="0" xfId="0" applyFont="1"/>
    <xf numFmtId="0" fontId="48" fillId="0" borderId="0" xfId="0" applyFont="1"/>
    <xf numFmtId="0" fontId="10" fillId="0" borderId="0" xfId="0" applyFont="1"/>
    <xf numFmtId="0" fontId="49" fillId="0" borderId="0" xfId="0" applyFont="1"/>
    <xf numFmtId="0" fontId="51" fillId="0" borderId="0" xfId="0" applyFont="1"/>
    <xf numFmtId="0" fontId="1" fillId="0" borderId="1" xfId="0" applyFont="1" applyBorder="1" applyAlignment="1" applyProtection="1">
      <alignment horizontal="center" vertical="center"/>
      <protection locked="0"/>
    </xf>
    <xf numFmtId="0" fontId="1" fillId="4" borderId="0" xfId="0" applyFont="1" applyFill="1"/>
    <xf numFmtId="0" fontId="0" fillId="4" borderId="0" xfId="0" applyFill="1" applyAlignment="1">
      <alignment horizontal="left" vertical="center"/>
    </xf>
    <xf numFmtId="165" fontId="40" fillId="4" borderId="76" xfId="0" applyNumberFormat="1" applyFont="1" applyFill="1" applyBorder="1" applyAlignment="1" applyProtection="1">
      <alignment horizontal="right" vertical="center"/>
      <protection locked="0"/>
    </xf>
    <xf numFmtId="165" fontId="1" fillId="4" borderId="0" xfId="0" applyNumberFormat="1" applyFont="1" applyFill="1" applyAlignment="1">
      <alignment horizontal="right" vertical="center"/>
    </xf>
    <xf numFmtId="0" fontId="41" fillId="0" borderId="0" xfId="0" applyFont="1"/>
    <xf numFmtId="0" fontId="25" fillId="0" borderId="0" xfId="0" applyFont="1" applyAlignment="1">
      <alignment horizontal="left"/>
    </xf>
    <xf numFmtId="0" fontId="25" fillId="0" borderId="0" xfId="0" applyFont="1" applyAlignment="1">
      <alignment horizontal="right"/>
    </xf>
    <xf numFmtId="8" fontId="41" fillId="0" borderId="0" xfId="0" applyNumberFormat="1" applyFont="1"/>
    <xf numFmtId="8" fontId="41" fillId="0" borderId="0" xfId="0" applyNumberFormat="1" applyFont="1" applyAlignment="1">
      <alignment horizontal="right"/>
    </xf>
    <xf numFmtId="165" fontId="41" fillId="0" borderId="0" xfId="0" applyNumberFormat="1" applyFont="1" applyProtection="1">
      <protection locked="0"/>
    </xf>
    <xf numFmtId="1" fontId="41" fillId="0" borderId="0" xfId="0" applyNumberFormat="1" applyFont="1"/>
    <xf numFmtId="2" fontId="41" fillId="0" borderId="0" xfId="0" applyNumberFormat="1" applyFont="1"/>
    <xf numFmtId="0" fontId="0" fillId="4" borderId="0" xfId="0" applyFill="1" applyAlignment="1">
      <alignment vertical="center"/>
    </xf>
    <xf numFmtId="0" fontId="3" fillId="4" borderId="0" xfId="0" applyFont="1" applyFill="1" applyAlignment="1">
      <alignment horizontal="center" vertical="center" wrapText="1"/>
    </xf>
    <xf numFmtId="0" fontId="40" fillId="4" borderId="5" xfId="0" applyFont="1" applyFill="1" applyBorder="1" applyAlignment="1">
      <alignment vertical="center"/>
    </xf>
    <xf numFmtId="0" fontId="40" fillId="4" borderId="0" xfId="0" applyFont="1" applyFill="1" applyAlignment="1">
      <alignment vertical="center"/>
    </xf>
    <xf numFmtId="0" fontId="40" fillId="4" borderId="6" xfId="0" applyFont="1" applyFill="1" applyBorder="1" applyAlignment="1">
      <alignment vertical="center"/>
    </xf>
    <xf numFmtId="0" fontId="3" fillId="4" borderId="6" xfId="0" applyFont="1" applyFill="1" applyBorder="1" applyAlignment="1">
      <alignment horizontal="center" vertical="center" wrapText="1"/>
    </xf>
    <xf numFmtId="0" fontId="3" fillId="4" borderId="0" xfId="0" applyFont="1" applyFill="1" applyAlignment="1">
      <alignment vertical="center" wrapText="1"/>
    </xf>
    <xf numFmtId="0" fontId="40" fillId="4" borderId="18" xfId="0" applyFont="1" applyFill="1" applyBorder="1" applyAlignment="1">
      <alignment vertical="center"/>
    </xf>
    <xf numFmtId="0" fontId="25" fillId="0" borderId="0" xfId="0" applyFont="1"/>
    <xf numFmtId="0" fontId="0" fillId="0" borderId="0" xfId="0" applyAlignment="1">
      <alignment horizontal="left" vertical="center"/>
    </xf>
    <xf numFmtId="44" fontId="0" fillId="0" borderId="0" xfId="0" applyNumberFormat="1" applyAlignment="1">
      <alignment horizontal="left" vertical="center"/>
    </xf>
    <xf numFmtId="165" fontId="3" fillId="0" borderId="0" xfId="0" applyNumberFormat="1" applyFont="1" applyAlignment="1">
      <alignment vertical="center"/>
    </xf>
    <xf numFmtId="1" fontId="0" fillId="0" borderId="0" xfId="0" applyNumberFormat="1"/>
    <xf numFmtId="165" fontId="41" fillId="0" borderId="0" xfId="0" applyNumberFormat="1" applyFont="1"/>
    <xf numFmtId="0" fontId="17" fillId="4" borderId="0" xfId="0" applyFont="1" applyFill="1" applyAlignment="1" applyProtection="1">
      <alignment horizontal="center" vertical="center"/>
      <protection locked="0"/>
    </xf>
    <xf numFmtId="3" fontId="6" fillId="0" borderId="0" xfId="0" applyNumberFormat="1" applyFont="1" applyAlignment="1">
      <alignment vertical="center"/>
    </xf>
    <xf numFmtId="0" fontId="14" fillId="4" borderId="6" xfId="0" applyFont="1" applyFill="1" applyBorder="1" applyAlignment="1">
      <alignment vertical="center"/>
    </xf>
    <xf numFmtId="3" fontId="6" fillId="4"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wrapText="1"/>
    </xf>
    <xf numFmtId="1"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0" fillId="14" borderId="0" xfId="0" applyFill="1" applyAlignment="1">
      <alignment vertical="center"/>
    </xf>
    <xf numFmtId="0" fontId="1" fillId="4" borderId="0" xfId="0" applyFont="1" applyFill="1" applyAlignment="1">
      <alignment vertical="center"/>
    </xf>
    <xf numFmtId="0" fontId="3" fillId="0" borderId="0" xfId="0" applyFont="1"/>
    <xf numFmtId="0" fontId="13" fillId="4" borderId="0" xfId="0" applyFont="1" applyFill="1"/>
    <xf numFmtId="3" fontId="1" fillId="4" borderId="0" xfId="0" applyNumberFormat="1" applyFont="1" applyFill="1" applyAlignment="1">
      <alignment vertical="center"/>
    </xf>
    <xf numFmtId="0" fontId="0" fillId="14" borderId="65" xfId="0" applyFill="1" applyBorder="1" applyAlignment="1">
      <alignment vertical="center"/>
    </xf>
    <xf numFmtId="0" fontId="0" fillId="16" borderId="0" xfId="0" applyFill="1" applyAlignment="1">
      <alignment vertical="center"/>
    </xf>
    <xf numFmtId="0" fontId="36" fillId="4" borderId="0" xfId="0" applyFont="1" applyFill="1" applyAlignment="1">
      <alignment vertical="center"/>
    </xf>
    <xf numFmtId="0" fontId="36" fillId="0" borderId="0" xfId="0" applyFont="1" applyAlignment="1">
      <alignment vertical="center"/>
    </xf>
    <xf numFmtId="0" fontId="1" fillId="17" borderId="0" xfId="0" applyFont="1" applyFill="1" applyAlignment="1">
      <alignment horizontal="left" vertical="center"/>
    </xf>
    <xf numFmtId="0" fontId="1" fillId="4" borderId="0" xfId="0" applyFont="1" applyFill="1" applyAlignment="1">
      <alignment horizontal="left" vertical="center"/>
    </xf>
    <xf numFmtId="0" fontId="0" fillId="0" borderId="1" xfId="0" applyBorder="1" applyAlignment="1">
      <alignment horizontal="center" vertical="center"/>
    </xf>
    <xf numFmtId="0" fontId="13" fillId="14" borderId="83" xfId="0" applyFont="1" applyFill="1" applyBorder="1" applyAlignment="1">
      <alignment horizontal="center" vertical="center" wrapText="1"/>
    </xf>
    <xf numFmtId="0" fontId="55" fillId="14" borderId="84" xfId="0" applyFont="1" applyFill="1" applyBorder="1" applyAlignment="1">
      <alignment horizontal="center" vertical="center" wrapText="1"/>
    </xf>
    <xf numFmtId="0" fontId="55" fillId="14" borderId="84" xfId="0" applyFont="1" applyFill="1" applyBorder="1" applyAlignment="1">
      <alignment horizontal="center" vertical="center"/>
    </xf>
    <xf numFmtId="0" fontId="55" fillId="14" borderId="85" xfId="0" applyFont="1" applyFill="1" applyBorder="1" applyAlignment="1">
      <alignment horizontal="center" vertical="center" wrapText="1"/>
    </xf>
    <xf numFmtId="0" fontId="55" fillId="14" borderId="86" xfId="0" applyFont="1" applyFill="1" applyBorder="1" applyAlignment="1">
      <alignment horizontal="center" vertical="center" wrapText="1"/>
    </xf>
    <xf numFmtId="0" fontId="5" fillId="0" borderId="0" xfId="0" applyFont="1" applyAlignment="1">
      <alignment horizontal="center" wrapText="1"/>
    </xf>
    <xf numFmtId="0" fontId="0" fillId="4" borderId="25"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5" xfId="0" quotePrefix="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8" fontId="0" fillId="4" borderId="1" xfId="0" applyNumberFormat="1" applyFill="1" applyBorder="1" applyAlignment="1">
      <alignment horizontal="center" vertical="center"/>
    </xf>
    <xf numFmtId="6" fontId="0" fillId="4" borderId="1" xfId="0" applyNumberFormat="1" applyFill="1" applyBorder="1" applyAlignment="1">
      <alignment horizontal="center" vertical="center"/>
    </xf>
    <xf numFmtId="0" fontId="36"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 xfId="0" applyFon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4" borderId="29" xfId="0" applyFill="1" applyBorder="1" applyAlignment="1">
      <alignment horizontal="left" vertical="center" wrapText="1"/>
    </xf>
    <xf numFmtId="6"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4" borderId="31" xfId="0" applyFill="1" applyBorder="1" applyAlignment="1">
      <alignment horizontal="left" vertical="center" wrapText="1"/>
    </xf>
    <xf numFmtId="1" fontId="1" fillId="4" borderId="0" xfId="0" applyNumberFormat="1" applyFont="1" applyFill="1" applyAlignment="1">
      <alignment horizontal="center"/>
    </xf>
    <xf numFmtId="2" fontId="1" fillId="0" borderId="0" xfId="0" applyNumberFormat="1" applyFont="1" applyAlignment="1">
      <alignment horizontal="center" vertical="center"/>
    </xf>
    <xf numFmtId="0" fontId="31" fillId="3" borderId="0" xfId="0" applyFont="1" applyFill="1" applyAlignment="1">
      <alignment vertical="center"/>
    </xf>
    <xf numFmtId="0" fontId="31" fillId="3" borderId="0" xfId="0" quotePrefix="1" applyFont="1" applyFill="1" applyAlignment="1">
      <alignment vertical="center"/>
    </xf>
    <xf numFmtId="0" fontId="31" fillId="4" borderId="0" xfId="0" applyFont="1" applyFill="1"/>
    <xf numFmtId="0" fontId="57" fillId="4" borderId="0" xfId="0" applyFont="1" applyFill="1"/>
    <xf numFmtId="0" fontId="59" fillId="4" borderId="0" xfId="0" applyFont="1" applyFill="1"/>
    <xf numFmtId="0" fontId="60" fillId="4" borderId="0" xfId="0" applyFont="1" applyFill="1"/>
    <xf numFmtId="0" fontId="11" fillId="4" borderId="0" xfId="1" applyFill="1" applyAlignment="1"/>
    <xf numFmtId="0" fontId="3" fillId="21" borderId="4"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0" borderId="10" xfId="0" applyFont="1" applyBorder="1" applyAlignment="1">
      <alignment horizontal="left" vertical="center"/>
    </xf>
    <xf numFmtId="0" fontId="3" fillId="21" borderId="0" xfId="0" applyFont="1" applyFill="1" applyAlignment="1" applyProtection="1">
      <alignment horizontal="center" vertical="center"/>
      <protection locked="0"/>
    </xf>
    <xf numFmtId="0" fontId="3" fillId="0" borderId="17" xfId="0" applyFont="1" applyBorder="1" applyAlignment="1">
      <alignment vertical="center"/>
    </xf>
    <xf numFmtId="0" fontId="3" fillId="0" borderId="37" xfId="0" applyFont="1" applyBorder="1" applyAlignment="1">
      <alignment vertical="center"/>
    </xf>
    <xf numFmtId="0" fontId="64" fillId="0" borderId="65" xfId="0" applyFont="1" applyBorder="1"/>
    <xf numFmtId="0" fontId="3" fillId="21" borderId="2"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79" fillId="10" borderId="96" xfId="0" applyFont="1" applyFill="1" applyBorder="1" applyAlignment="1">
      <alignment horizontal="center" vertical="center" wrapText="1"/>
    </xf>
    <xf numFmtId="0" fontId="12" fillId="0" borderId="97" xfId="0" applyFont="1" applyBorder="1" applyAlignment="1" applyProtection="1">
      <alignment horizontal="center"/>
      <protection locked="0"/>
    </xf>
    <xf numFmtId="0" fontId="12" fillId="0" borderId="98" xfId="0" applyFont="1" applyBorder="1" applyAlignment="1" applyProtection="1">
      <alignment horizontal="center"/>
      <protection locked="0"/>
    </xf>
    <xf numFmtId="0" fontId="12" fillId="0" borderId="99" xfId="0" applyFont="1" applyBorder="1" applyAlignment="1" applyProtection="1">
      <alignment horizontal="center"/>
      <protection locked="0"/>
    </xf>
    <xf numFmtId="0" fontId="10" fillId="3" borderId="87" xfId="0" applyFont="1" applyFill="1" applyBorder="1"/>
    <xf numFmtId="0" fontId="10" fillId="3" borderId="88" xfId="0" applyFont="1" applyFill="1" applyBorder="1"/>
    <xf numFmtId="0" fontId="79" fillId="10" borderId="87" xfId="0" applyFont="1" applyFill="1" applyBorder="1" applyAlignment="1">
      <alignment horizontal="center" vertical="center" wrapText="1"/>
    </xf>
    <xf numFmtId="0" fontId="79" fillId="10" borderId="88" xfId="0" applyFont="1" applyFill="1" applyBorder="1" applyAlignment="1">
      <alignment horizontal="center" vertical="center" wrapText="1"/>
    </xf>
    <xf numFmtId="0" fontId="79" fillId="10" borderId="89" xfId="0" applyFont="1" applyFill="1" applyBorder="1" applyAlignment="1">
      <alignment horizontal="center" vertical="center" wrapText="1"/>
    </xf>
    <xf numFmtId="1" fontId="3" fillId="0" borderId="90" xfId="6" applyNumberFormat="1" applyFont="1" applyBorder="1" applyAlignment="1" applyProtection="1">
      <alignment horizontal="center"/>
      <protection locked="0"/>
    </xf>
    <xf numFmtId="1" fontId="3" fillId="0" borderId="92" xfId="6" applyNumberFormat="1" applyFont="1" applyBorder="1" applyAlignment="1" applyProtection="1">
      <alignment horizontal="center" wrapText="1"/>
      <protection locked="0"/>
    </xf>
    <xf numFmtId="166" fontId="3" fillId="0" borderId="74" xfId="6" applyNumberFormat="1" applyFont="1" applyBorder="1" applyAlignment="1" applyProtection="1">
      <alignment horizontal="center"/>
      <protection locked="0"/>
    </xf>
    <xf numFmtId="0" fontId="0" fillId="10" borderId="97" xfId="0" applyFill="1" applyBorder="1"/>
    <xf numFmtId="170" fontId="31" fillId="10" borderId="97" xfId="6" applyNumberFormat="1" applyFont="1" applyFill="1" applyBorder="1" applyAlignment="1" applyProtection="1"/>
    <xf numFmtId="166" fontId="31" fillId="10" borderId="97" xfId="0" applyNumberFormat="1" applyFont="1" applyFill="1" applyBorder="1"/>
    <xf numFmtId="0" fontId="0" fillId="10" borderId="99" xfId="0" applyFill="1" applyBorder="1"/>
    <xf numFmtId="170" fontId="31" fillId="10" borderId="99" xfId="6" applyNumberFormat="1" applyFont="1" applyFill="1" applyBorder="1" applyAlignment="1" applyProtection="1"/>
    <xf numFmtId="166" fontId="31" fillId="10" borderId="99" xfId="0" applyNumberFormat="1" applyFont="1" applyFill="1" applyBorder="1"/>
    <xf numFmtId="166" fontId="3" fillId="0" borderId="93" xfId="6" applyNumberFormat="1" applyFont="1" applyBorder="1" applyAlignment="1" applyProtection="1">
      <alignment horizontal="center"/>
      <protection locked="0"/>
    </xf>
    <xf numFmtId="0" fontId="0" fillId="10" borderId="98" xfId="0" applyFill="1" applyBorder="1"/>
    <xf numFmtId="170" fontId="31" fillId="10" borderId="98" xfId="6" applyNumberFormat="1" applyFont="1" applyFill="1" applyBorder="1" applyAlignment="1" applyProtection="1"/>
    <xf numFmtId="166" fontId="31" fillId="10" borderId="98" xfId="0" applyNumberFormat="1" applyFont="1" applyFill="1" applyBorder="1"/>
    <xf numFmtId="0" fontId="0" fillId="0" borderId="96" xfId="0" applyBorder="1"/>
    <xf numFmtId="0" fontId="3" fillId="0" borderId="87" xfId="0" applyFont="1" applyBorder="1" applyAlignment="1">
      <alignment horizontal="right"/>
    </xf>
    <xf numFmtId="0" fontId="0" fillId="0" borderId="88" xfId="0" applyBorder="1"/>
    <xf numFmtId="0" fontId="3" fillId="0" borderId="88" xfId="0" applyFont="1" applyBorder="1"/>
    <xf numFmtId="0" fontId="3" fillId="0" borderId="88" xfId="0" applyFont="1" applyBorder="1" applyAlignment="1">
      <alignment horizontal="right"/>
    </xf>
    <xf numFmtId="0" fontId="3" fillId="0" borderId="74" xfId="0" applyFont="1" applyBorder="1" applyAlignment="1">
      <alignment horizontal="center"/>
    </xf>
    <xf numFmtId="0" fontId="3" fillId="0" borderId="0" xfId="0" applyFont="1" applyAlignment="1">
      <alignment horizontal="center"/>
    </xf>
    <xf numFmtId="0" fontId="0" fillId="0" borderId="75" xfId="0" applyBorder="1" applyAlignment="1">
      <alignment horizontal="center"/>
    </xf>
    <xf numFmtId="0" fontId="3" fillId="0" borderId="75" xfId="0" applyFont="1" applyBorder="1" applyAlignment="1">
      <alignment horizontal="center"/>
    </xf>
    <xf numFmtId="0" fontId="3" fillId="0" borderId="0" xfId="0" quotePrefix="1" applyFont="1" applyAlignment="1">
      <alignment horizontal="center"/>
    </xf>
    <xf numFmtId="0" fontId="3" fillId="0" borderId="99" xfId="0" applyFont="1" applyBorder="1" applyAlignment="1" applyProtection="1">
      <alignment horizontal="center"/>
      <protection locked="0"/>
    </xf>
    <xf numFmtId="0" fontId="3" fillId="0" borderId="74" xfId="0" applyFont="1" applyBorder="1" applyAlignment="1" applyProtection="1">
      <alignment horizontal="center"/>
      <protection locked="0"/>
    </xf>
    <xf numFmtId="0" fontId="3" fillId="0" borderId="75" xfId="0" applyFont="1" applyBorder="1" applyAlignment="1" applyProtection="1">
      <alignment horizontal="center"/>
      <protection locked="0"/>
    </xf>
    <xf numFmtId="1" fontId="3" fillId="0" borderId="74"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1" fontId="3" fillId="0" borderId="75" xfId="0" applyNumberFormat="1"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93" xfId="0" applyFont="1" applyBorder="1" applyAlignment="1" applyProtection="1">
      <alignment horizontal="center"/>
      <protection locked="0"/>
    </xf>
    <xf numFmtId="1" fontId="3" fillId="0" borderId="93" xfId="0" applyNumberFormat="1" applyFont="1" applyBorder="1" applyAlignment="1" applyProtection="1">
      <alignment horizontal="center"/>
      <protection locked="0"/>
    </xf>
    <xf numFmtId="3" fontId="3" fillId="0" borderId="94" xfId="0" applyNumberFormat="1" applyFont="1" applyBorder="1" applyAlignment="1" applyProtection="1">
      <alignment horizontal="center"/>
      <protection locked="0"/>
    </xf>
    <xf numFmtId="1" fontId="3" fillId="0" borderId="95" xfId="0" applyNumberFormat="1" applyFont="1" applyBorder="1" applyAlignment="1" applyProtection="1">
      <alignment horizontal="center"/>
      <protection locked="0"/>
    </xf>
    <xf numFmtId="2" fontId="3" fillId="0" borderId="74" xfId="0" applyNumberFormat="1" applyFont="1" applyBorder="1" applyAlignment="1">
      <alignment horizontal="center"/>
    </xf>
    <xf numFmtId="2" fontId="3" fillId="0" borderId="75" xfId="0" applyNumberFormat="1" applyFont="1" applyBorder="1" applyAlignment="1">
      <alignment horizontal="center"/>
    </xf>
    <xf numFmtId="2" fontId="3" fillId="0" borderId="95" xfId="0" applyNumberFormat="1" applyFont="1" applyBorder="1" applyAlignment="1">
      <alignment horizontal="center"/>
    </xf>
    <xf numFmtId="2" fontId="3" fillId="0" borderId="93" xfId="0" applyNumberFormat="1" applyFont="1" applyBorder="1" applyAlignment="1">
      <alignment horizontal="center"/>
    </xf>
    <xf numFmtId="0" fontId="3" fillId="0" borderId="0" xfId="0" applyFont="1" applyAlignment="1">
      <alignment horizontal="right"/>
    </xf>
    <xf numFmtId="1" fontId="3" fillId="0" borderId="0" xfId="0" applyNumberFormat="1" applyFont="1" applyProtection="1">
      <protection locked="0"/>
    </xf>
    <xf numFmtId="1" fontId="3" fillId="0" borderId="75" xfId="0" applyNumberFormat="1" applyFont="1" applyBorder="1" applyProtection="1">
      <protection locked="0"/>
    </xf>
    <xf numFmtId="0" fontId="3" fillId="10" borderId="97" xfId="0" applyFont="1" applyFill="1" applyBorder="1"/>
    <xf numFmtId="0" fontId="3" fillId="10" borderId="99" xfId="0" applyFont="1" applyFill="1" applyBorder="1"/>
    <xf numFmtId="0" fontId="3" fillId="10" borderId="98" xfId="0" applyFont="1" applyFill="1" applyBorder="1"/>
    <xf numFmtId="2" fontId="3" fillId="0" borderId="91" xfId="0" applyNumberFormat="1" applyFont="1" applyBorder="1" applyAlignment="1" applyProtection="1">
      <alignment horizontal="center" vertical="center"/>
      <protection locked="0"/>
    </xf>
    <xf numFmtId="2" fontId="3" fillId="0" borderId="92" xfId="0" applyNumberFormat="1" applyFont="1" applyBorder="1" applyAlignment="1">
      <alignment horizontal="center" vertical="center"/>
    </xf>
    <xf numFmtId="1" fontId="3" fillId="0" borderId="75" xfId="0" applyNumberFormat="1" applyFont="1" applyBorder="1" applyAlignment="1">
      <alignment horizontal="center" vertical="center"/>
    </xf>
    <xf numFmtId="1" fontId="3" fillId="0" borderId="95" xfId="0" applyNumberFormat="1" applyFont="1" applyBorder="1" applyAlignment="1">
      <alignment horizontal="center" vertical="center"/>
    </xf>
    <xf numFmtId="0" fontId="92" fillId="0" borderId="75" xfId="0" applyFont="1" applyBorder="1" applyAlignment="1">
      <alignment horizontal="center" vertical="center" wrapText="1"/>
    </xf>
    <xf numFmtId="0" fontId="3" fillId="10" borderId="96" xfId="0" applyFont="1" applyFill="1" applyBorder="1"/>
    <xf numFmtId="2" fontId="3" fillId="0" borderId="91" xfId="0" applyNumberFormat="1" applyFont="1" applyBorder="1" applyAlignment="1">
      <alignment horizontal="center" vertical="center"/>
    </xf>
    <xf numFmtId="0" fontId="16" fillId="4" borderId="10" xfId="0" applyFont="1" applyFill="1" applyBorder="1" applyAlignment="1">
      <alignment horizontal="right" vertical="center"/>
    </xf>
    <xf numFmtId="0" fontId="16" fillId="4" borderId="10" xfId="0" applyFont="1" applyFill="1" applyBorder="1" applyAlignment="1">
      <alignment horizontal="center" vertical="center"/>
    </xf>
    <xf numFmtId="0" fontId="64" fillId="0" borderId="0" xfId="0" applyFont="1"/>
    <xf numFmtId="0" fontId="3" fillId="0" borderId="0" xfId="0" applyFont="1" applyAlignment="1">
      <alignment horizontal="left"/>
    </xf>
    <xf numFmtId="0" fontId="3" fillId="4" borderId="0" xfId="0" applyFont="1" applyFill="1" applyAlignment="1">
      <alignment horizontal="left"/>
    </xf>
    <xf numFmtId="0" fontId="76" fillId="4" borderId="0" xfId="0" applyFont="1" applyFill="1" applyAlignment="1">
      <alignment horizontal="left"/>
    </xf>
    <xf numFmtId="0" fontId="77" fillId="0" borderId="0" xfId="0" applyFont="1" applyAlignment="1">
      <alignment horizontal="center" vertical="center"/>
    </xf>
    <xf numFmtId="0" fontId="22" fillId="4" borderId="0" xfId="0" applyFont="1" applyFill="1"/>
    <xf numFmtId="0" fontId="11" fillId="4" borderId="0" xfId="1" applyFill="1" applyAlignment="1" applyProtection="1"/>
    <xf numFmtId="1" fontId="6" fillId="16" borderId="1" xfId="0" applyNumberFormat="1" applyFont="1" applyFill="1" applyBorder="1" applyAlignment="1" applyProtection="1">
      <alignment horizontal="center" vertical="center"/>
      <protection locked="0"/>
    </xf>
    <xf numFmtId="165" fontId="6" fillId="16" borderId="1" xfId="0" applyNumberFormat="1" applyFont="1" applyFill="1" applyBorder="1" applyAlignment="1" applyProtection="1">
      <alignment horizontal="center" vertical="center"/>
      <protection locked="0"/>
    </xf>
    <xf numFmtId="0" fontId="31" fillId="4" borderId="0" xfId="0" applyFont="1" applyFill="1" applyAlignment="1">
      <alignment horizontal="center"/>
    </xf>
    <xf numFmtId="0" fontId="31" fillId="16" borderId="0" xfId="0" applyFont="1" applyFill="1"/>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2" fillId="4" borderId="0" xfId="0" applyFont="1" applyFill="1" applyAlignment="1">
      <alignment vertical="center"/>
    </xf>
    <xf numFmtId="0" fontId="2" fillId="0" borderId="0" xfId="0" applyFont="1"/>
    <xf numFmtId="0" fontId="4" fillId="4"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0" fillId="0" borderId="5" xfId="0" applyBorder="1"/>
    <xf numFmtId="0" fontId="0" fillId="0" borderId="6" xfId="0" applyBorder="1"/>
    <xf numFmtId="0" fontId="8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pplyProtection="1">
      <alignment horizontal="center" vertical="center"/>
      <protection locked="0"/>
    </xf>
    <xf numFmtId="0" fontId="0" fillId="0" borderId="8" xfId="0" applyBorder="1"/>
    <xf numFmtId="0" fontId="0" fillId="0" borderId="9" xfId="0" applyBorder="1"/>
    <xf numFmtId="0" fontId="12" fillId="0" borderId="35" xfId="0" applyFont="1" applyBorder="1"/>
    <xf numFmtId="0" fontId="12" fillId="0" borderId="10" xfId="0" applyFont="1" applyBorder="1"/>
    <xf numFmtId="0" fontId="89" fillId="0" borderId="10" xfId="0" applyFont="1" applyBorder="1" applyAlignment="1">
      <alignment vertical="center" wrapText="1"/>
    </xf>
    <xf numFmtId="0" fontId="0" fillId="0" borderId="10" xfId="0" applyBorder="1"/>
    <xf numFmtId="0" fontId="12" fillId="0" borderId="10" xfId="0" applyFont="1" applyBorder="1" applyAlignment="1">
      <alignment horizontal="right"/>
    </xf>
    <xf numFmtId="0" fontId="0" fillId="0" borderId="19" xfId="0" applyBorder="1"/>
    <xf numFmtId="0" fontId="3" fillId="0" borderId="65" xfId="0" applyFont="1" applyBorder="1"/>
    <xf numFmtId="0" fontId="0" fillId="0" borderId="18" xfId="0" applyBorder="1"/>
    <xf numFmtId="0" fontId="3" fillId="0" borderId="18" xfId="0" applyFont="1" applyBorder="1" applyAlignment="1">
      <alignment wrapText="1"/>
    </xf>
    <xf numFmtId="2" fontId="3" fillId="0" borderId="0" xfId="0" applyNumberFormat="1" applyFont="1" applyAlignment="1">
      <alignment horizontal="center"/>
    </xf>
    <xf numFmtId="2" fontId="3" fillId="0" borderId="0" xfId="0" applyNumberFormat="1" applyFont="1"/>
    <xf numFmtId="2" fontId="3" fillId="0" borderId="18" xfId="0" applyNumberFormat="1" applyFont="1" applyBorder="1"/>
    <xf numFmtId="0" fontId="3" fillId="0" borderId="35" xfId="0" applyFont="1" applyBorder="1" applyAlignment="1">
      <alignment horizontal="right"/>
    </xf>
    <xf numFmtId="0" fontId="3" fillId="0" borderId="10" xfId="0" applyFont="1" applyBorder="1" applyAlignment="1">
      <alignment horizontal="right"/>
    </xf>
    <xf numFmtId="2" fontId="3" fillId="0" borderId="10" xfId="0" applyNumberFormat="1" applyFont="1" applyBorder="1" applyAlignment="1">
      <alignment horizontal="right"/>
    </xf>
    <xf numFmtId="0" fontId="0" fillId="0" borderId="10" xfId="0" applyBorder="1" applyAlignment="1">
      <alignment horizontal="right"/>
    </xf>
    <xf numFmtId="0" fontId="3" fillId="0" borderId="35" xfId="0" applyFont="1" applyBorder="1"/>
    <xf numFmtId="0" fontId="14" fillId="0" borderId="0" xfId="0" applyFont="1"/>
    <xf numFmtId="0" fontId="12" fillId="0" borderId="0" xfId="0" applyFont="1"/>
    <xf numFmtId="0" fontId="6" fillId="0" borderId="0" xfId="0" applyFont="1"/>
    <xf numFmtId="0" fontId="12" fillId="0" borderId="0" xfId="0" applyFont="1" applyAlignment="1">
      <alignment vertical="center"/>
    </xf>
    <xf numFmtId="0" fontId="14" fillId="0" borderId="0" xfId="0" applyFont="1" applyAlignment="1">
      <alignment vertical="center"/>
    </xf>
    <xf numFmtId="0" fontId="3" fillId="0" borderId="18" xfId="0" applyFont="1" applyBorder="1" applyAlignment="1">
      <alignment vertical="center"/>
    </xf>
    <xf numFmtId="0" fontId="3" fillId="0" borderId="5" xfId="0" applyFont="1" applyBorder="1" applyAlignment="1">
      <alignment horizontal="center" vertical="center"/>
    </xf>
    <xf numFmtId="0" fontId="3" fillId="0" borderId="117"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15" xfId="0" applyBorder="1"/>
    <xf numFmtId="0" fontId="3" fillId="0" borderId="7" xfId="0" applyFont="1" applyBorder="1"/>
    <xf numFmtId="0" fontId="3" fillId="0" borderId="8" xfId="0" applyFont="1" applyBorder="1"/>
    <xf numFmtId="0" fontId="3" fillId="0" borderId="0" xfId="0" applyFont="1" applyAlignment="1" applyProtection="1">
      <alignment horizontal="center" vertical="center"/>
      <protection locked="0"/>
    </xf>
    <xf numFmtId="0" fontId="3" fillId="0" borderId="0" xfId="0" applyFont="1" applyAlignment="1">
      <alignment vertical="top"/>
    </xf>
    <xf numFmtId="0" fontId="0" fillId="0" borderId="8" xfId="0" applyBorder="1" applyAlignment="1">
      <alignment vertical="center"/>
    </xf>
    <xf numFmtId="0" fontId="0" fillId="0" borderId="8" xfId="0" applyBorder="1" applyAlignment="1">
      <alignment horizontal="right" vertical="center"/>
    </xf>
    <xf numFmtId="0" fontId="6" fillId="0" borderId="0" xfId="0" applyFont="1" applyAlignment="1">
      <alignment vertical="center"/>
    </xf>
    <xf numFmtId="0" fontId="1" fillId="14" borderId="0" xfId="0" applyFont="1" applyFill="1" applyAlignment="1">
      <alignment horizontal="left" vertical="center"/>
    </xf>
    <xf numFmtId="0" fontId="0" fillId="4" borderId="0" xfId="0" applyFill="1" applyAlignment="1">
      <alignment horizontal="left"/>
    </xf>
    <xf numFmtId="0" fontId="1" fillId="4" borderId="0" xfId="0" applyFont="1" applyFill="1" applyAlignment="1">
      <alignment horizontal="right"/>
    </xf>
    <xf numFmtId="0" fontId="1" fillId="4" borderId="0" xfId="0" applyFont="1" applyFill="1" applyAlignment="1">
      <alignment horizontal="center"/>
    </xf>
    <xf numFmtId="0" fontId="1" fillId="4" borderId="0" xfId="0" applyFont="1" applyFill="1" applyAlignment="1">
      <alignment horizontal="left"/>
    </xf>
    <xf numFmtId="0" fontId="0" fillId="4" borderId="0" xfId="0" applyFill="1" applyAlignment="1">
      <alignment horizontal="center" vertical="center"/>
    </xf>
    <xf numFmtId="0" fontId="21" fillId="0" borderId="0" xfId="12" applyFont="1" applyAlignment="1">
      <alignment vertical="center" wrapText="1"/>
    </xf>
    <xf numFmtId="173" fontId="31" fillId="0" borderId="0" xfId="0" applyNumberFormat="1" applyFont="1" applyAlignment="1">
      <alignment vertical="center"/>
    </xf>
    <xf numFmtId="0" fontId="44" fillId="0" borderId="0" xfId="12" applyFont="1" applyAlignment="1">
      <alignment vertical="center" wrapText="1"/>
    </xf>
    <xf numFmtId="0" fontId="31" fillId="0" borderId="0" xfId="0" applyFont="1"/>
    <xf numFmtId="8" fontId="31" fillId="0" borderId="0" xfId="0" applyNumberFormat="1" applyFont="1"/>
    <xf numFmtId="0" fontId="22" fillId="4" borderId="0" xfId="0" applyFont="1" applyFill="1" applyAlignment="1">
      <alignment horizontal="left"/>
    </xf>
    <xf numFmtId="0" fontId="109" fillId="0" borderId="0" xfId="0" applyFont="1" applyAlignment="1">
      <alignment vertical="center" wrapText="1"/>
    </xf>
    <xf numFmtId="0" fontId="0" fillId="0" borderId="2" xfId="0" applyBorder="1"/>
    <xf numFmtId="0" fontId="0" fillId="0" borderId="3" xfId="0" applyBorder="1"/>
    <xf numFmtId="6" fontId="100" fillId="23" borderId="1" xfId="7" applyNumberFormat="1" applyBorder="1" applyAlignment="1"/>
    <xf numFmtId="14" fontId="103" fillId="26" borderId="119" xfId="10" applyNumberFormat="1" applyAlignment="1"/>
    <xf numFmtId="0" fontId="102" fillId="25" borderId="1" xfId="9" applyBorder="1" applyAlignment="1"/>
    <xf numFmtId="38" fontId="100" fillId="23" borderId="1" xfId="7" applyNumberFormat="1" applyBorder="1" applyAlignment="1"/>
    <xf numFmtId="8" fontId="103" fillId="26" borderId="1" xfId="10" applyNumberFormat="1" applyBorder="1" applyAlignment="1"/>
    <xf numFmtId="4" fontId="102" fillId="25" borderId="1" xfId="9" applyNumberFormat="1" applyBorder="1" applyAlignment="1"/>
    <xf numFmtId="8" fontId="100" fillId="23" borderId="1" xfId="7" applyNumberFormat="1" applyBorder="1" applyAlignment="1"/>
    <xf numFmtId="38" fontId="100" fillId="23" borderId="1" xfId="7" quotePrefix="1" applyNumberFormat="1" applyBorder="1" applyAlignment="1"/>
    <xf numFmtId="0" fontId="0" fillId="0" borderId="2" xfId="0" applyBorder="1" applyAlignment="1">
      <alignment vertical="center"/>
    </xf>
    <xf numFmtId="0" fontId="102" fillId="25" borderId="1" xfId="9" applyBorder="1" applyAlignment="1">
      <alignment vertical="center"/>
    </xf>
    <xf numFmtId="0" fontId="103" fillId="26" borderId="1" xfId="10" applyBorder="1" applyAlignment="1"/>
    <xf numFmtId="8" fontId="102" fillId="25" borderId="1" xfId="9" applyNumberFormat="1" applyBorder="1" applyAlignment="1"/>
    <xf numFmtId="9" fontId="0" fillId="0" borderId="0" xfId="3" applyFont="1"/>
    <xf numFmtId="8" fontId="0" fillId="0" borderId="0" xfId="0" applyNumberFormat="1"/>
    <xf numFmtId="0" fontId="32" fillId="27" borderId="1" xfId="0" applyFont="1" applyFill="1" applyBorder="1"/>
    <xf numFmtId="0" fontId="32" fillId="27" borderId="1" xfId="0" applyFont="1" applyFill="1" applyBorder="1" applyAlignment="1">
      <alignment wrapText="1"/>
    </xf>
    <xf numFmtId="0" fontId="32" fillId="27" borderId="38" xfId="0" applyFont="1" applyFill="1" applyBorder="1" applyAlignment="1">
      <alignment wrapText="1"/>
    </xf>
    <xf numFmtId="0" fontId="32" fillId="27" borderId="2" xfId="0" applyFont="1" applyFill="1" applyBorder="1"/>
    <xf numFmtId="0" fontId="32" fillId="27" borderId="17" xfId="0" applyFont="1" applyFill="1" applyBorder="1"/>
    <xf numFmtId="0" fontId="32" fillId="27" borderId="3" xfId="0" applyFont="1" applyFill="1" applyBorder="1"/>
    <xf numFmtId="0" fontId="32" fillId="27" borderId="37" xfId="0" applyFont="1" applyFill="1" applyBorder="1"/>
    <xf numFmtId="0" fontId="32" fillId="27" borderId="4" xfId="0" applyFont="1" applyFill="1" applyBorder="1"/>
    <xf numFmtId="0" fontId="32" fillId="27" borderId="36" xfId="0" applyFont="1" applyFill="1" applyBorder="1" applyAlignment="1">
      <alignment wrapText="1"/>
    </xf>
    <xf numFmtId="0" fontId="32" fillId="28" borderId="1" xfId="0" applyFont="1" applyFill="1" applyBorder="1" applyAlignment="1">
      <alignment wrapText="1"/>
    </xf>
    <xf numFmtId="0" fontId="110" fillId="0" borderId="123" xfId="0" applyFont="1" applyBorder="1"/>
    <xf numFmtId="0" fontId="102" fillId="25" borderId="1" xfId="9" applyBorder="1"/>
    <xf numFmtId="6" fontId="102" fillId="25" borderId="1" xfId="9" applyNumberFormat="1" applyBorder="1"/>
    <xf numFmtId="38" fontId="0" fillId="0" borderId="1" xfId="0" applyNumberFormat="1" applyBorder="1"/>
    <xf numFmtId="8" fontId="0" fillId="0" borderId="1" xfId="0" applyNumberFormat="1" applyBorder="1"/>
    <xf numFmtId="0" fontId="0" fillId="0" borderId="17" xfId="0" applyBorder="1"/>
    <xf numFmtId="6" fontId="1" fillId="0" borderId="72" xfId="0" applyNumberFormat="1" applyFont="1" applyBorder="1"/>
    <xf numFmtId="0" fontId="1" fillId="0" borderId="17" xfId="0" applyFont="1" applyBorder="1" applyAlignment="1">
      <alignment horizontal="right"/>
    </xf>
    <xf numFmtId="0" fontId="1" fillId="0" borderId="3" xfId="0" applyFont="1" applyBorder="1" applyAlignment="1">
      <alignment horizontal="right"/>
    </xf>
    <xf numFmtId="38" fontId="1" fillId="0" borderId="3" xfId="0" applyNumberFormat="1" applyFont="1" applyBorder="1"/>
    <xf numFmtId="8" fontId="1" fillId="0" borderId="3" xfId="0" applyNumberFormat="1" applyFont="1" applyBorder="1"/>
    <xf numFmtId="3" fontId="1" fillId="0" borderId="3" xfId="0" applyNumberFormat="1" applyFont="1" applyBorder="1"/>
    <xf numFmtId="0" fontId="34" fillId="0" borderId="0" xfId="0" applyFont="1"/>
    <xf numFmtId="0" fontId="1" fillId="0" borderId="0" xfId="0" applyFont="1" applyAlignment="1">
      <alignment horizontal="left"/>
    </xf>
    <xf numFmtId="0" fontId="36" fillId="0" borderId="0" xfId="0" applyFont="1"/>
    <xf numFmtId="0" fontId="104" fillId="26" borderId="118" xfId="11" applyAlignment="1">
      <alignment horizontal="left"/>
    </xf>
    <xf numFmtId="40" fontId="104" fillId="26" borderId="118" xfId="11" applyNumberFormat="1"/>
    <xf numFmtId="0" fontId="102" fillId="25" borderId="118" xfId="9" applyAlignment="1">
      <alignment horizontal="left"/>
    </xf>
    <xf numFmtId="40" fontId="102" fillId="25" borderId="118" xfId="9" applyNumberFormat="1"/>
    <xf numFmtId="40" fontId="104" fillId="26" borderId="118" xfId="11" quotePrefix="1" applyNumberFormat="1"/>
    <xf numFmtId="40" fontId="102" fillId="25" borderId="118" xfId="9" quotePrefix="1" applyNumberFormat="1"/>
    <xf numFmtId="4" fontId="104" fillId="26" borderId="118" xfId="11" quotePrefix="1" applyNumberFormat="1"/>
    <xf numFmtId="4" fontId="104" fillId="26" borderId="118" xfId="11" applyNumberFormat="1" applyAlignment="1">
      <alignment horizontal="left"/>
    </xf>
    <xf numFmtId="0" fontId="103" fillId="26" borderId="119" xfId="10" applyAlignment="1">
      <alignment horizontal="left"/>
    </xf>
    <xf numFmtId="40" fontId="103" fillId="26" borderId="119" xfId="10" applyNumberFormat="1" applyAlignment="1"/>
    <xf numFmtId="8" fontId="103" fillId="26" borderId="119" xfId="10" applyNumberFormat="1" applyAlignment="1"/>
    <xf numFmtId="4" fontId="104" fillId="26" borderId="118" xfId="11" applyNumberFormat="1"/>
    <xf numFmtId="4" fontId="102" fillId="25" borderId="118" xfId="9" applyNumberFormat="1"/>
    <xf numFmtId="174" fontId="102" fillId="25" borderId="118" xfId="9" applyNumberFormat="1"/>
    <xf numFmtId="4" fontId="103" fillId="26" borderId="119" xfId="10" applyNumberFormat="1" applyAlignment="1"/>
    <xf numFmtId="4" fontId="103" fillId="13" borderId="119" xfId="10" applyNumberFormat="1" applyFill="1" applyAlignment="1"/>
    <xf numFmtId="38" fontId="102" fillId="25" borderId="118" xfId="9" applyNumberFormat="1"/>
    <xf numFmtId="9" fontId="102" fillId="25" borderId="118" xfId="9" applyNumberFormat="1" applyAlignment="1">
      <alignment horizontal="left"/>
    </xf>
    <xf numFmtId="40" fontId="102" fillId="13" borderId="118" xfId="9" applyNumberFormat="1" applyFill="1"/>
    <xf numFmtId="40" fontId="104" fillId="13" borderId="118" xfId="11" applyNumberFormat="1" applyFill="1"/>
    <xf numFmtId="10" fontId="36" fillId="0" borderId="0" xfId="0" applyNumberFormat="1" applyFont="1"/>
    <xf numFmtId="8" fontId="103" fillId="13" borderId="119" xfId="10" applyNumberFormat="1" applyFill="1"/>
    <xf numFmtId="4" fontId="102" fillId="13" borderId="118" xfId="9" applyNumberFormat="1" applyFill="1"/>
    <xf numFmtId="4" fontId="102" fillId="25" borderId="118" xfId="9" quotePrefix="1" applyNumberFormat="1"/>
    <xf numFmtId="4" fontId="102" fillId="13" borderId="118" xfId="9" quotePrefix="1" applyNumberFormat="1" applyFill="1"/>
    <xf numFmtId="4" fontId="104" fillId="13" borderId="118" xfId="11" applyNumberFormat="1" applyFill="1"/>
    <xf numFmtId="4" fontId="103" fillId="26" borderId="119" xfId="10" applyNumberFormat="1"/>
    <xf numFmtId="8" fontId="103" fillId="26" borderId="119" xfId="10" applyNumberFormat="1"/>
    <xf numFmtId="175" fontId="0" fillId="0" borderId="0" xfId="0" applyNumberFormat="1"/>
    <xf numFmtId="0" fontId="0" fillId="4" borderId="0" xfId="0" applyFill="1" applyAlignment="1">
      <alignment horizontal="right" vertical="center"/>
    </xf>
    <xf numFmtId="165" fontId="1" fillId="4" borderId="0" xfId="0" applyNumberFormat="1" applyFont="1" applyFill="1" applyAlignment="1">
      <alignment horizontal="center" vertical="center"/>
    </xf>
    <xf numFmtId="16" fontId="0" fillId="0" borderId="0" xfId="0" applyNumberFormat="1"/>
    <xf numFmtId="0" fontId="31" fillId="4" borderId="10" xfId="0" applyFont="1" applyFill="1" applyBorder="1" applyAlignment="1">
      <alignment horizontal="center" vertical="center"/>
    </xf>
    <xf numFmtId="8" fontId="106" fillId="4" borderId="0" xfId="7" applyNumberFormat="1" applyFont="1" applyFill="1" applyBorder="1" applyAlignment="1" applyProtection="1">
      <alignment horizontal="center"/>
    </xf>
    <xf numFmtId="3" fontId="102" fillId="25" borderId="1" xfId="9" applyNumberFormat="1" applyBorder="1" applyAlignment="1"/>
    <xf numFmtId="0" fontId="0" fillId="0" borderId="124" xfId="0" applyBorder="1"/>
    <xf numFmtId="9" fontId="102" fillId="25" borderId="1" xfId="9" applyNumberFormat="1" applyBorder="1" applyAlignment="1"/>
    <xf numFmtId="3" fontId="102" fillId="25" borderId="1" xfId="9" applyNumberFormat="1" applyBorder="1" applyAlignment="1">
      <alignment horizontal="right"/>
    </xf>
    <xf numFmtId="4" fontId="102" fillId="25" borderId="1" xfId="9" applyNumberFormat="1" applyBorder="1"/>
    <xf numFmtId="40" fontId="102" fillId="13" borderId="118" xfId="9" quotePrefix="1" applyNumberFormat="1" applyFill="1"/>
    <xf numFmtId="43" fontId="0" fillId="0" borderId="0" xfId="6" applyFont="1"/>
    <xf numFmtId="3" fontId="0" fillId="4" borderId="0" xfId="0" applyNumberFormat="1" applyFill="1" applyAlignment="1">
      <alignment vertical="center"/>
    </xf>
    <xf numFmtId="0" fontId="3" fillId="4" borderId="2" xfId="0" applyFont="1" applyFill="1" applyBorder="1" applyAlignment="1">
      <alignment horizontal="right" vertical="center"/>
    </xf>
    <xf numFmtId="0" fontId="0" fillId="6" borderId="5" xfId="0" applyFill="1" applyBorder="1"/>
    <xf numFmtId="0" fontId="3" fillId="4" borderId="35" xfId="0"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3" fillId="4" borderId="0" xfId="0" applyFont="1" applyFill="1" applyAlignment="1">
      <alignment vertical="center"/>
    </xf>
    <xf numFmtId="0" fontId="3" fillId="4" borderId="18"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22" fillId="4" borderId="0" xfId="0" applyFont="1" applyFill="1" applyAlignment="1">
      <alignment vertical="center"/>
    </xf>
    <xf numFmtId="0" fontId="1" fillId="4" borderId="10" xfId="0" applyFont="1" applyFill="1" applyBorder="1" applyAlignment="1" applyProtection="1">
      <alignment horizontal="center"/>
      <protection locked="0"/>
    </xf>
    <xf numFmtId="0" fontId="0" fillId="4" borderId="2" xfId="0" applyFill="1" applyBorder="1" applyAlignment="1">
      <alignment horizontal="left" vertical="center"/>
    </xf>
    <xf numFmtId="0" fontId="1" fillId="0" borderId="0" xfId="0" applyFont="1" applyAlignment="1">
      <alignment horizontal="center" vertical="center"/>
    </xf>
    <xf numFmtId="168" fontId="1" fillId="7" borderId="0" xfId="2" applyNumberFormat="1" applyFont="1" applyFill="1" applyBorder="1" applyAlignment="1">
      <alignment vertical="center"/>
    </xf>
    <xf numFmtId="168" fontId="1" fillId="9" borderId="0" xfId="2" applyNumberFormat="1" applyFont="1" applyFill="1" applyBorder="1" applyAlignment="1">
      <alignment horizontal="center" vertical="center" wrapText="1"/>
    </xf>
    <xf numFmtId="168" fontId="1" fillId="4" borderId="17" xfId="2" applyNumberFormat="1" applyFont="1" applyFill="1" applyBorder="1" applyAlignment="1">
      <alignment vertical="center"/>
    </xf>
    <xf numFmtId="168" fontId="1" fillId="7" borderId="61" xfId="2" applyNumberFormat="1" applyFont="1" applyFill="1" applyBorder="1" applyAlignment="1">
      <alignment vertical="center"/>
    </xf>
    <xf numFmtId="168" fontId="34" fillId="7" borderId="0" xfId="2" applyNumberFormat="1" applyFont="1" applyFill="1" applyBorder="1" applyAlignment="1">
      <alignment vertical="center"/>
    </xf>
    <xf numFmtId="168" fontId="34" fillId="9" borderId="0" xfId="2" applyNumberFormat="1" applyFont="1" applyFill="1" applyBorder="1" applyAlignment="1">
      <alignment horizontal="center" vertical="center"/>
    </xf>
    <xf numFmtId="0" fontId="36" fillId="4" borderId="2" xfId="0" applyFont="1" applyFill="1" applyBorder="1" applyAlignment="1">
      <alignment vertical="center"/>
    </xf>
    <xf numFmtId="0" fontId="36" fillId="4" borderId="64" xfId="0" applyFont="1" applyFill="1" applyBorder="1" applyAlignment="1">
      <alignment vertical="center"/>
    </xf>
    <xf numFmtId="0" fontId="36" fillId="0" borderId="35" xfId="0" applyFont="1" applyBorder="1" applyAlignment="1">
      <alignment vertical="center"/>
    </xf>
    <xf numFmtId="0" fontId="36" fillId="0" borderId="2" xfId="0" applyFont="1" applyBorder="1" applyAlignment="1">
      <alignment vertical="center"/>
    </xf>
    <xf numFmtId="0" fontId="36" fillId="0" borderId="2" xfId="5" applyFont="1" applyBorder="1" applyAlignment="1">
      <alignment vertical="center"/>
    </xf>
    <xf numFmtId="165" fontId="0" fillId="0" borderId="0" xfId="0" applyNumberFormat="1" applyAlignment="1">
      <alignment vertical="center"/>
    </xf>
    <xf numFmtId="44" fontId="1" fillId="8" borderId="66" xfId="2" applyFont="1" applyFill="1" applyBorder="1" applyAlignment="1">
      <alignment vertical="center"/>
    </xf>
    <xf numFmtId="44" fontId="1" fillId="9" borderId="66" xfId="2" applyFont="1" applyFill="1" applyBorder="1" applyAlignment="1">
      <alignment horizontal="center" vertical="center"/>
    </xf>
    <xf numFmtId="168" fontId="34" fillId="7" borderId="58" xfId="2" applyNumberFormat="1" applyFont="1" applyFill="1" applyBorder="1" applyAlignment="1">
      <alignment vertical="center"/>
    </xf>
    <xf numFmtId="0" fontId="1" fillId="14" borderId="0" xfId="0" applyFont="1" applyFill="1" applyAlignment="1">
      <alignment horizontal="center" vertical="center"/>
    </xf>
    <xf numFmtId="0" fontId="0" fillId="4" borderId="10" xfId="0" applyFill="1" applyBorder="1" applyAlignment="1">
      <alignment horizontal="center" vertical="center" wrapText="1"/>
    </xf>
    <xf numFmtId="0" fontId="32" fillId="3" borderId="17" xfId="0" applyFont="1" applyFill="1" applyBorder="1" applyAlignment="1">
      <alignment vertical="center"/>
    </xf>
    <xf numFmtId="0" fontId="0" fillId="10" borderId="17" xfId="0" applyFill="1" applyBorder="1" applyAlignment="1">
      <alignment vertical="center"/>
    </xf>
    <xf numFmtId="0" fontId="6" fillId="4" borderId="6" xfId="0" applyFont="1" applyFill="1" applyBorder="1" applyAlignment="1">
      <alignment vertical="center"/>
    </xf>
    <xf numFmtId="0" fontId="1" fillId="12" borderId="23" xfId="0" applyFont="1" applyFill="1" applyBorder="1"/>
    <xf numFmtId="0" fontId="1" fillId="12" borderId="4" xfId="0" applyFont="1" applyFill="1" applyBorder="1"/>
    <xf numFmtId="0" fontId="22" fillId="21" borderId="0" xfId="0" applyFont="1" applyFill="1"/>
    <xf numFmtId="3" fontId="3" fillId="4" borderId="17" xfId="0" applyNumberFormat="1" applyFont="1" applyFill="1" applyBorder="1" applyAlignment="1">
      <alignment vertical="center"/>
    </xf>
    <xf numFmtId="3" fontId="1" fillId="0" borderId="0" xfId="0" applyNumberFormat="1" applyFont="1" applyAlignment="1">
      <alignment horizontal="center" vertical="center"/>
    </xf>
    <xf numFmtId="3" fontId="6" fillId="0" borderId="5" xfId="0" applyNumberFormat="1" applyFont="1" applyBorder="1" applyAlignment="1">
      <alignment vertical="center"/>
    </xf>
    <xf numFmtId="0" fontId="0" fillId="0" borderId="5" xfId="0" applyBorder="1" applyAlignment="1">
      <alignment vertical="center"/>
    </xf>
    <xf numFmtId="0" fontId="114" fillId="0" borderId="0" xfId="0" applyFont="1"/>
    <xf numFmtId="3" fontId="3" fillId="4" borderId="22" xfId="0" applyNumberFormat="1" applyFont="1" applyFill="1" applyBorder="1" applyAlignment="1">
      <alignment vertical="center"/>
    </xf>
    <xf numFmtId="0" fontId="47" fillId="4" borderId="0" xfId="1" applyFont="1" applyFill="1" applyAlignment="1" applyProtection="1">
      <alignment wrapText="1"/>
    </xf>
    <xf numFmtId="0" fontId="4" fillId="4" borderId="0" xfId="0" applyFont="1" applyFill="1" applyAlignment="1">
      <alignment horizontal="left" vertical="center"/>
    </xf>
    <xf numFmtId="0" fontId="31" fillId="16" borderId="5" xfId="0" applyFont="1" applyFill="1" applyBorder="1"/>
    <xf numFmtId="0" fontId="31" fillId="31" borderId="5" xfId="0" applyFont="1" applyFill="1" applyBorder="1"/>
    <xf numFmtId="0" fontId="31" fillId="31" borderId="138" xfId="0" applyFont="1" applyFill="1" applyBorder="1"/>
    <xf numFmtId="0" fontId="31" fillId="16" borderId="138" xfId="0" applyFont="1" applyFill="1" applyBorder="1"/>
    <xf numFmtId="0" fontId="31" fillId="31" borderId="146" xfId="0" applyFont="1" applyFill="1" applyBorder="1"/>
    <xf numFmtId="0" fontId="4" fillId="29" borderId="0" xfId="0" applyFont="1" applyFill="1" applyAlignment="1">
      <alignment horizontal="left" vertical="center"/>
    </xf>
    <xf numFmtId="0" fontId="31" fillId="4" borderId="0" xfId="0" applyFont="1" applyFill="1" applyAlignment="1">
      <alignment horizontal="left" vertical="center"/>
    </xf>
    <xf numFmtId="0" fontId="4" fillId="31" borderId="0" xfId="0" applyFont="1" applyFill="1" applyAlignment="1">
      <alignment horizontal="left" vertical="center"/>
    </xf>
    <xf numFmtId="0" fontId="4" fillId="32" borderId="0" xfId="0" applyFont="1" applyFill="1" applyAlignment="1">
      <alignment horizontal="left" vertical="center"/>
    </xf>
    <xf numFmtId="0" fontId="0" fillId="6" borderId="138" xfId="0" applyFill="1" applyBorder="1"/>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44" fontId="1" fillId="9" borderId="60" xfId="2" applyFont="1" applyFill="1" applyBorder="1" applyAlignment="1">
      <alignment vertical="center"/>
    </xf>
    <xf numFmtId="44" fontId="1" fillId="9" borderId="61" xfId="2" applyFont="1" applyFill="1" applyBorder="1" applyAlignment="1">
      <alignment vertical="center"/>
    </xf>
    <xf numFmtId="0" fontId="0" fillId="4" borderId="0" xfId="0" applyFill="1" applyAlignment="1">
      <alignment wrapText="1"/>
    </xf>
    <xf numFmtId="0" fontId="11" fillId="4" borderId="0" xfId="1" applyFill="1" applyAlignment="1" applyProtection="1">
      <alignment horizontal="center"/>
      <protection locked="0"/>
    </xf>
    <xf numFmtId="0" fontId="31" fillId="4" borderId="0" xfId="0" applyFont="1" applyFill="1" applyAlignment="1">
      <alignment horizontal="center"/>
    </xf>
    <xf numFmtId="0" fontId="47" fillId="4" borderId="0" xfId="1" applyFont="1" applyFill="1" applyAlignment="1" applyProtection="1">
      <alignment horizontal="left" wrapText="1"/>
    </xf>
    <xf numFmtId="0" fontId="47" fillId="4" borderId="0" xfId="1" applyFont="1" applyFill="1" applyAlignment="1" applyProtection="1">
      <alignment horizontal="left" vertical="top" wrapText="1"/>
    </xf>
    <xf numFmtId="0" fontId="61" fillId="4" borderId="0" xfId="1" applyFont="1" applyFill="1" applyAlignment="1" applyProtection="1">
      <alignment horizontal="left" vertical="center" wrapText="1"/>
      <protection locked="0"/>
    </xf>
    <xf numFmtId="0" fontId="47" fillId="4" borderId="0" xfId="1" applyFont="1" applyFill="1" applyAlignment="1" applyProtection="1">
      <alignment horizontal="left" vertical="center" wrapText="1"/>
    </xf>
    <xf numFmtId="0" fontId="47" fillId="4" borderId="0" xfId="1" applyFont="1" applyFill="1" applyAlignment="1" applyProtection="1">
      <alignment horizontal="center" vertical="top" wrapText="1"/>
    </xf>
    <xf numFmtId="0" fontId="0" fillId="4" borderId="0" xfId="0" applyFill="1" applyAlignment="1">
      <alignment horizontal="center"/>
    </xf>
    <xf numFmtId="0" fontId="61" fillId="4" borderId="0" xfId="1" applyFont="1" applyFill="1" applyAlignment="1" applyProtection="1">
      <alignment horizontal="left"/>
      <protection locked="0"/>
    </xf>
    <xf numFmtId="0" fontId="61" fillId="0" borderId="0" xfId="1" applyFont="1" applyAlignment="1" applyProtection="1">
      <alignment horizontal="left"/>
      <protection locked="0"/>
    </xf>
    <xf numFmtId="0" fontId="0" fillId="4" borderId="0" xfId="0" applyFill="1" applyAlignment="1">
      <alignment horizontal="left" wrapText="1"/>
    </xf>
    <xf numFmtId="0" fontId="0" fillId="4" borderId="0" xfId="0" applyFill="1" applyAlignment="1">
      <alignment horizontal="left"/>
    </xf>
    <xf numFmtId="0" fontId="8" fillId="6" borderId="5" xfId="0" applyFont="1" applyFill="1" applyBorder="1" applyAlignment="1">
      <alignment horizontal="left" vertical="center"/>
    </xf>
    <xf numFmtId="0" fontId="8" fillId="6" borderId="0" xfId="0" applyFont="1" applyFill="1" applyAlignment="1">
      <alignment horizontal="left" vertical="center"/>
    </xf>
    <xf numFmtId="0" fontId="3" fillId="4" borderId="0" xfId="0" applyFont="1" applyFill="1" applyAlignment="1">
      <alignment horizontal="right" vertical="center" wrapText="1"/>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7" fillId="4" borderId="0" xfId="0" applyFont="1" applyFill="1" applyAlignment="1" applyProtection="1">
      <alignment horizontal="center" vertical="center"/>
      <protection locked="0"/>
    </xf>
    <xf numFmtId="0" fontId="3" fillId="4"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7" fillId="4" borderId="5" xfId="0" applyFont="1" applyFill="1" applyBorder="1" applyAlignment="1" applyProtection="1">
      <alignment horizontal="left" vertical="top" wrapText="1"/>
      <protection locked="0"/>
    </xf>
    <xf numFmtId="0" fontId="47" fillId="4" borderId="0" xfId="0" applyFont="1" applyFill="1" applyAlignment="1" applyProtection="1">
      <alignment horizontal="left" vertical="top" wrapText="1"/>
      <protection locked="0"/>
    </xf>
    <xf numFmtId="0" fontId="47" fillId="4" borderId="6" xfId="0" applyFont="1" applyFill="1" applyBorder="1" applyAlignment="1" applyProtection="1">
      <alignment horizontal="left" vertical="top" wrapText="1"/>
      <protection locked="0"/>
    </xf>
    <xf numFmtId="0" fontId="47" fillId="4" borderId="7" xfId="0" applyFont="1" applyFill="1" applyBorder="1" applyAlignment="1" applyProtection="1">
      <alignment horizontal="left" vertical="top" wrapText="1"/>
      <protection locked="0"/>
    </xf>
    <xf numFmtId="0" fontId="47" fillId="4" borderId="8" xfId="0" applyFont="1" applyFill="1" applyBorder="1" applyAlignment="1" applyProtection="1">
      <alignment horizontal="left" vertical="top" wrapText="1"/>
      <protection locked="0"/>
    </xf>
    <xf numFmtId="0" fontId="47" fillId="4" borderId="9" xfId="0" applyFont="1" applyFill="1" applyBorder="1" applyAlignment="1" applyProtection="1">
      <alignment horizontal="left" vertical="top" wrapText="1"/>
      <protection locked="0"/>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2" xfId="0" applyFont="1" applyFill="1" applyBorder="1" applyAlignment="1">
      <alignment horizontal="left" vertical="center"/>
    </xf>
    <xf numFmtId="0" fontId="17" fillId="0" borderId="0" xfId="0" applyFont="1" applyAlignment="1" applyProtection="1">
      <alignment horizontal="center" vertical="center" wrapText="1"/>
      <protection locked="0"/>
    </xf>
    <xf numFmtId="0" fontId="3" fillId="4" borderId="2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3" fillId="4" borderId="0" xfId="0" applyFont="1" applyFill="1" applyAlignment="1">
      <alignment horizontal="right" vertical="center"/>
    </xf>
    <xf numFmtId="3" fontId="17" fillId="4" borderId="0" xfId="0" applyNumberFormat="1" applyFont="1" applyFill="1" applyAlignment="1" applyProtection="1">
      <alignment horizontal="center" vertical="center" wrapText="1"/>
      <protection locked="0"/>
    </xf>
    <xf numFmtId="3" fontId="17" fillId="4" borderId="6" xfId="0" applyNumberFormat="1" applyFont="1" applyFill="1" applyBorder="1" applyAlignment="1" applyProtection="1">
      <alignment horizontal="center" vertical="center" wrapText="1"/>
      <protection locked="0"/>
    </xf>
    <xf numFmtId="0" fontId="46" fillId="6" borderId="2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4"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0" fillId="0" borderId="34" xfId="0" applyBorder="1" applyAlignment="1">
      <alignment horizontal="center"/>
    </xf>
    <xf numFmtId="2" fontId="17" fillId="4" borderId="0" xfId="0" applyNumberFormat="1" applyFont="1" applyFill="1" applyAlignment="1">
      <alignment horizontal="center" vertical="center" wrapText="1"/>
    </xf>
    <xf numFmtId="2" fontId="17" fillId="4" borderId="18" xfId="0" applyNumberFormat="1"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0" fillId="4" borderId="34" xfId="0" applyFill="1" applyBorder="1" applyAlignment="1">
      <alignment horizontal="center"/>
    </xf>
    <xf numFmtId="0" fontId="17" fillId="4" borderId="0" xfId="0" applyFont="1" applyFill="1" applyAlignment="1" applyProtection="1">
      <alignment horizontal="center" vertical="center" wrapText="1"/>
      <protection locked="0"/>
    </xf>
    <xf numFmtId="0" fontId="16"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166" fontId="17" fillId="4" borderId="0" xfId="0" applyNumberFormat="1" applyFont="1" applyFill="1" applyAlignment="1" applyProtection="1">
      <alignment horizontal="center" vertical="center" wrapText="1"/>
      <protection locked="0"/>
    </xf>
    <xf numFmtId="166" fontId="17" fillId="4" borderId="6" xfId="0" applyNumberFormat="1" applyFont="1" applyFill="1" applyBorder="1" applyAlignment="1" applyProtection="1">
      <alignment horizontal="center" vertical="center" wrapText="1"/>
      <protection locked="0"/>
    </xf>
    <xf numFmtId="0" fontId="2" fillId="4" borderId="0" xfId="0" applyFont="1" applyFill="1" applyAlignment="1">
      <alignment horizontal="left"/>
    </xf>
    <xf numFmtId="1" fontId="17" fillId="4" borderId="0" xfId="0" applyNumberFormat="1" applyFont="1" applyFill="1" applyAlignment="1" applyProtection="1">
      <alignment horizontal="center" vertical="center"/>
      <protection locked="0"/>
    </xf>
    <xf numFmtId="1" fontId="17" fillId="4" borderId="6" xfId="0" applyNumberFormat="1" applyFont="1" applyFill="1" applyBorder="1" applyAlignment="1" applyProtection="1">
      <alignment horizontal="center" vertical="center"/>
      <protection locked="0"/>
    </xf>
    <xf numFmtId="0" fontId="3" fillId="4" borderId="0" xfId="0" applyFont="1" applyFill="1" applyAlignment="1">
      <alignment horizontal="left" vertical="center"/>
    </xf>
    <xf numFmtId="0" fontId="0" fillId="0" borderId="8" xfId="0" applyBorder="1" applyAlignment="1">
      <alignment horizontal="center"/>
    </xf>
    <xf numFmtId="0" fontId="31" fillId="4" borderId="5" xfId="0" applyFont="1" applyFill="1" applyBorder="1" applyAlignment="1">
      <alignment horizontal="left" vertical="center"/>
    </xf>
    <xf numFmtId="0" fontId="31" fillId="4" borderId="0" xfId="0" applyFont="1" applyFill="1" applyAlignment="1">
      <alignment horizontal="left" vertical="center"/>
    </xf>
    <xf numFmtId="0" fontId="22" fillId="4" borderId="0" xfId="0" applyFont="1" applyFill="1" applyAlignment="1" applyProtection="1">
      <alignment horizontal="center" vertical="center"/>
      <protection locked="0"/>
    </xf>
    <xf numFmtId="0" fontId="31" fillId="4" borderId="0" xfId="0" applyFont="1" applyFill="1" applyAlignment="1">
      <alignment horizontal="right" vertical="center"/>
    </xf>
    <xf numFmtId="173" fontId="22" fillId="4" borderId="0" xfId="0" applyNumberFormat="1" applyFont="1" applyFill="1" applyAlignment="1" applyProtection="1">
      <alignment horizontal="center" vertical="center"/>
      <protection locked="0"/>
    </xf>
    <xf numFmtId="173" fontId="22" fillId="4" borderId="6" xfId="0" applyNumberFormat="1" applyFont="1" applyFill="1" applyBorder="1" applyAlignment="1" applyProtection="1">
      <alignment horizontal="center" vertical="center"/>
      <protection locked="0"/>
    </xf>
    <xf numFmtId="0" fontId="3" fillId="4" borderId="5" xfId="0" applyFont="1" applyFill="1" applyBorder="1" applyAlignment="1">
      <alignment horizontal="left" vertical="center"/>
    </xf>
    <xf numFmtId="0" fontId="7" fillId="4" borderId="0" xfId="0" applyFont="1" applyFill="1" applyAlignment="1">
      <alignment horizontal="left" vertical="center"/>
    </xf>
    <xf numFmtId="164" fontId="3" fillId="4" borderId="0" xfId="0" applyNumberFormat="1" applyFont="1" applyFill="1" applyAlignment="1">
      <alignment horizontal="right" vertical="center" wrapText="1"/>
    </xf>
    <xf numFmtId="0" fontId="4" fillId="4" borderId="0" xfId="0" applyFont="1" applyFill="1" applyAlignment="1">
      <alignment horizontal="left"/>
    </xf>
    <xf numFmtId="0" fontId="10" fillId="4" borderId="5" xfId="0" applyFont="1" applyFill="1" applyBorder="1" applyAlignment="1">
      <alignment horizontal="center" vertical="center"/>
    </xf>
    <xf numFmtId="0" fontId="10" fillId="4" borderId="0" xfId="0" applyFont="1" applyFill="1" applyAlignment="1">
      <alignment horizontal="center" vertical="center"/>
    </xf>
    <xf numFmtId="0" fontId="10"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0" xfId="0" applyFont="1" applyFill="1" applyAlignment="1">
      <alignment horizontal="center" vertical="center"/>
    </xf>
    <xf numFmtId="0" fontId="31"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1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center" vertical="center"/>
    </xf>
    <xf numFmtId="0" fontId="3" fillId="4" borderId="6" xfId="0" applyFont="1" applyFill="1" applyBorder="1" applyAlignment="1">
      <alignment horizontal="left" vertical="center"/>
    </xf>
    <xf numFmtId="0" fontId="17" fillId="4" borderId="0" xfId="0" applyFont="1" applyFill="1" applyAlignment="1" applyProtection="1">
      <alignment horizontal="left" vertical="center"/>
      <protection locked="0"/>
    </xf>
    <xf numFmtId="0" fontId="7" fillId="4" borderId="2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4" xfId="0" applyFont="1" applyFill="1" applyBorder="1" applyAlignment="1">
      <alignment horizontal="center" vertical="center"/>
    </xf>
    <xf numFmtId="0" fontId="16" fillId="4" borderId="0" xfId="0" applyFont="1" applyFill="1" applyAlignment="1">
      <alignment horizontal="right" vertical="center"/>
    </xf>
    <xf numFmtId="0" fontId="6" fillId="4" borderId="0" xfId="0" applyFont="1" applyFill="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6" fillId="4" borderId="14"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4" xfId="0" applyFont="1" applyFill="1" applyBorder="1" applyAlignment="1">
      <alignment horizontal="center" vertical="center"/>
    </xf>
    <xf numFmtId="0" fontId="3" fillId="4" borderId="0" xfId="0" applyFont="1" applyFill="1" applyAlignment="1">
      <alignment horizontal="center" vertical="center"/>
    </xf>
    <xf numFmtId="0" fontId="3" fillId="4" borderId="19" xfId="0" applyFont="1" applyFill="1" applyBorder="1" applyAlignment="1">
      <alignment horizontal="center" vertical="center" wrapText="1"/>
    </xf>
    <xf numFmtId="0" fontId="9" fillId="11" borderId="5" xfId="0" applyFont="1" applyFill="1" applyBorder="1" applyAlignment="1">
      <alignment horizontal="left" vertical="center"/>
    </xf>
    <xf numFmtId="0" fontId="8" fillId="11" borderId="0" xfId="0" applyFont="1" applyFill="1" applyAlignment="1">
      <alignment horizontal="left" vertical="center"/>
    </xf>
    <xf numFmtId="0" fontId="8" fillId="11" borderId="6" xfId="0" applyFont="1" applyFill="1" applyBorder="1" applyAlignment="1">
      <alignment horizontal="left" vertical="center"/>
    </xf>
    <xf numFmtId="0" fontId="40" fillId="6" borderId="5" xfId="0" applyFont="1" applyFill="1" applyBorder="1" applyAlignment="1">
      <alignment horizontal="center" vertical="center"/>
    </xf>
    <xf numFmtId="0" fontId="40" fillId="6" borderId="0" xfId="0" applyFont="1" applyFill="1" applyAlignment="1">
      <alignment horizontal="center" vertical="center"/>
    </xf>
    <xf numFmtId="0" fontId="40" fillId="6" borderId="18" xfId="0" applyFont="1" applyFill="1" applyBorder="1" applyAlignment="1">
      <alignment horizontal="center" vertical="center"/>
    </xf>
    <xf numFmtId="0" fontId="53" fillId="6" borderId="0" xfId="0" applyFont="1" applyFill="1" applyAlignment="1">
      <alignment horizontal="center" vertical="center"/>
    </xf>
    <xf numFmtId="0" fontId="53" fillId="6" borderId="6" xfId="0" applyFont="1" applyFill="1" applyBorder="1" applyAlignment="1">
      <alignment horizontal="center" vertical="center"/>
    </xf>
    <xf numFmtId="0" fontId="3" fillId="4" borderId="5" xfId="0" applyFont="1" applyFill="1" applyBorder="1" applyAlignment="1">
      <alignment horizontal="right" vertical="center" wrapText="1"/>
    </xf>
    <xf numFmtId="0" fontId="17" fillId="4" borderId="6"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3" fontId="17" fillId="4" borderId="18" xfId="0" applyNumberFormat="1" applyFont="1" applyFill="1" applyBorder="1" applyAlignment="1" applyProtection="1">
      <alignment horizontal="center" vertical="center" wrapText="1"/>
      <protection locked="0"/>
    </xf>
    <xf numFmtId="0" fontId="3" fillId="4" borderId="5" xfId="0" applyFont="1" applyFill="1" applyBorder="1" applyAlignment="1">
      <alignment horizontal="right" vertical="center"/>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6" fillId="16" borderId="17" xfId="0" applyFont="1" applyFill="1" applyBorder="1" applyAlignment="1" applyProtection="1">
      <alignment horizontal="center" vertical="center" wrapText="1"/>
      <protection locked="0"/>
    </xf>
    <xf numFmtId="165" fontId="18" fillId="4" borderId="2" xfId="0" applyNumberFormat="1" applyFont="1" applyFill="1" applyBorder="1" applyAlignment="1">
      <alignment horizontal="center" vertical="center" wrapText="1"/>
    </xf>
    <xf numFmtId="165" fontId="18" fillId="4" borderId="17" xfId="0" applyNumberFormat="1" applyFont="1" applyFill="1" applyBorder="1" applyAlignment="1">
      <alignment horizontal="center" vertical="center" wrapText="1"/>
    </xf>
    <xf numFmtId="165" fontId="18" fillId="4" borderId="3" xfId="0" applyNumberFormat="1" applyFont="1" applyFill="1" applyBorder="1" applyAlignment="1">
      <alignment horizontal="center" vertical="center" wrapText="1"/>
    </xf>
    <xf numFmtId="0" fontId="3" fillId="4" borderId="2"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6" fillId="16" borderId="3" xfId="0" applyFont="1" applyFill="1" applyBorder="1" applyAlignment="1" applyProtection="1">
      <alignment horizontal="center" vertical="center" wrapText="1"/>
      <protection locked="0"/>
    </xf>
    <xf numFmtId="0" fontId="3" fillId="4" borderId="2" xfId="0" applyFont="1" applyFill="1" applyBorder="1" applyAlignment="1">
      <alignment horizontal="right" vertical="center"/>
    </xf>
    <xf numFmtId="0" fontId="3" fillId="4" borderId="17" xfId="0" applyFont="1" applyFill="1" applyBorder="1" applyAlignment="1">
      <alignment horizontal="right" vertical="center"/>
    </xf>
    <xf numFmtId="1" fontId="6" fillId="16" borderId="17" xfId="0" applyNumberFormat="1" applyFont="1" applyFill="1" applyBorder="1" applyAlignment="1" applyProtection="1">
      <alignment horizontal="center" vertical="center" wrapText="1"/>
      <protection locked="0"/>
    </xf>
    <xf numFmtId="1" fontId="6" fillId="16" borderId="3" xfId="0" applyNumberFormat="1" applyFont="1" applyFill="1" applyBorder="1" applyAlignment="1" applyProtection="1">
      <alignment horizontal="center" vertical="center" wrapText="1"/>
      <protection locked="0"/>
    </xf>
    <xf numFmtId="2" fontId="6" fillId="16" borderId="17" xfId="0" applyNumberFormat="1" applyFont="1" applyFill="1" applyBorder="1" applyAlignment="1" applyProtection="1">
      <alignment horizontal="center" vertical="center"/>
      <protection locked="0"/>
    </xf>
    <xf numFmtId="2" fontId="6" fillId="16" borderId="3" xfId="0" applyNumberFormat="1" applyFont="1" applyFill="1" applyBorder="1" applyAlignment="1" applyProtection="1">
      <alignment horizontal="center" vertical="center"/>
      <protection locked="0"/>
    </xf>
    <xf numFmtId="0" fontId="0" fillId="0" borderId="28" xfId="0" applyBorder="1" applyAlignment="1">
      <alignment horizontal="center"/>
    </xf>
    <xf numFmtId="0" fontId="3" fillId="4" borderId="0" xfId="0" applyFont="1" applyFill="1" applyAlignment="1">
      <alignment horizontal="left" vertical="center" wrapText="1"/>
    </xf>
    <xf numFmtId="165" fontId="31" fillId="0" borderId="81" xfId="0" applyNumberFormat="1" applyFont="1" applyBorder="1" applyAlignment="1">
      <alignment horizontal="center" vertical="center"/>
    </xf>
    <xf numFmtId="165" fontId="31" fillId="0" borderId="12" xfId="0" applyNumberFormat="1" applyFont="1" applyBorder="1" applyAlignment="1">
      <alignment horizontal="center" vertical="center"/>
    </xf>
    <xf numFmtId="165" fontId="31" fillId="0" borderId="82" xfId="0" applyNumberFormat="1" applyFont="1" applyBorder="1" applyAlignment="1">
      <alignment horizontal="center" vertical="center"/>
    </xf>
    <xf numFmtId="0" fontId="16" fillId="0" borderId="1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65" fontId="16" fillId="0" borderId="2" xfId="0" applyNumberFormat="1" applyFont="1" applyBorder="1" applyAlignment="1">
      <alignment horizontal="center" vertical="center"/>
    </xf>
    <xf numFmtId="165" fontId="16" fillId="0" borderId="17" xfId="0" applyNumberFormat="1" applyFont="1" applyBorder="1" applyAlignment="1">
      <alignment horizontal="center" vertical="center"/>
    </xf>
    <xf numFmtId="165" fontId="16" fillId="0" borderId="22" xfId="0" applyNumberFormat="1" applyFont="1" applyBorder="1" applyAlignment="1">
      <alignment horizontal="center" vertical="center"/>
    </xf>
    <xf numFmtId="0" fontId="16" fillId="0" borderId="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3" fontId="16" fillId="0" borderId="2"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65" fontId="16" fillId="0" borderId="2" xfId="0" applyNumberFormat="1" applyFont="1" applyBorder="1" applyAlignment="1" applyProtection="1">
      <alignment horizontal="center" vertical="center"/>
      <protection locked="0"/>
    </xf>
    <xf numFmtId="165" fontId="16" fillId="0" borderId="17" xfId="0" applyNumberFormat="1" applyFont="1" applyBorder="1" applyAlignment="1" applyProtection="1">
      <alignment horizontal="center" vertical="center"/>
      <protection locked="0"/>
    </xf>
    <xf numFmtId="165" fontId="16" fillId="0" borderId="3" xfId="0" applyNumberFormat="1" applyFont="1" applyBorder="1" applyAlignment="1" applyProtection="1">
      <alignment horizontal="center" vertical="center"/>
      <protection locked="0"/>
    </xf>
    <xf numFmtId="165" fontId="16" fillId="0" borderId="3" xfId="0" applyNumberFormat="1" applyFont="1" applyBorder="1" applyAlignment="1">
      <alignment horizontal="center" vertical="center"/>
    </xf>
    <xf numFmtId="3" fontId="6" fillId="16" borderId="17" xfId="0" applyNumberFormat="1" applyFont="1" applyFill="1" applyBorder="1" applyAlignment="1" applyProtection="1">
      <alignment horizontal="center" vertical="center" wrapText="1"/>
      <protection locked="0"/>
    </xf>
    <xf numFmtId="3" fontId="6" fillId="16" borderId="3" xfId="0" applyNumberFormat="1" applyFont="1" applyFill="1" applyBorder="1" applyAlignment="1" applyProtection="1">
      <alignment horizontal="center" vertical="center" wrapText="1"/>
      <protection locked="0"/>
    </xf>
    <xf numFmtId="0" fontId="3" fillId="4" borderId="139" xfId="0" applyFont="1" applyFill="1" applyBorder="1" applyAlignment="1">
      <alignment horizontal="center" vertical="center"/>
    </xf>
    <xf numFmtId="0" fontId="112" fillId="4" borderId="0" xfId="0" applyFont="1" applyFill="1" applyAlignment="1">
      <alignment horizontal="left" vertical="center"/>
    </xf>
    <xf numFmtId="0" fontId="113" fillId="4" borderId="0" xfId="0" applyFont="1" applyFill="1" applyAlignment="1">
      <alignment horizontal="left" vertical="center"/>
    </xf>
    <xf numFmtId="0" fontId="32" fillId="3" borderId="0" xfId="0" applyFont="1" applyFill="1" applyAlignment="1">
      <alignment horizontal="left" vertical="center"/>
    </xf>
    <xf numFmtId="0" fontId="3" fillId="4" borderId="145" xfId="0" applyFont="1" applyFill="1" applyBorder="1" applyAlignment="1">
      <alignment horizontal="left" vertical="top" wrapText="1"/>
    </xf>
    <xf numFmtId="0" fontId="3" fillId="4" borderId="145" xfId="0" applyFont="1" applyFill="1" applyBorder="1" applyAlignment="1">
      <alignment horizontal="right" vertical="top" wrapText="1"/>
    </xf>
    <xf numFmtId="165" fontId="3" fillId="4" borderId="2" xfId="0" applyNumberFormat="1" applyFont="1" applyFill="1" applyBorder="1" applyAlignment="1">
      <alignment horizontal="right" vertical="center" wrapText="1"/>
    </xf>
    <xf numFmtId="165" fontId="3" fillId="4" borderId="17" xfId="0" applyNumberFormat="1" applyFont="1" applyFill="1" applyBorder="1" applyAlignment="1">
      <alignment horizontal="right" vertical="center" wrapText="1"/>
    </xf>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165" fontId="6" fillId="16" borderId="17" xfId="0" applyNumberFormat="1" applyFont="1" applyFill="1" applyBorder="1" applyAlignment="1" applyProtection="1">
      <alignment horizontal="center" vertical="center"/>
      <protection locked="0"/>
    </xf>
    <xf numFmtId="165" fontId="6" fillId="16" borderId="22" xfId="0" applyNumberFormat="1" applyFont="1" applyFill="1" applyBorder="1" applyAlignment="1" applyProtection="1">
      <alignment horizontal="center" vertical="center"/>
      <protection locked="0"/>
    </xf>
    <xf numFmtId="0" fontId="3" fillId="16" borderId="17" xfId="0" applyFont="1" applyFill="1" applyBorder="1" applyAlignment="1" applyProtection="1">
      <alignment horizontal="center" vertical="center" wrapText="1"/>
      <protection locked="0"/>
    </xf>
    <xf numFmtId="0" fontId="3" fillId="16" borderId="3" xfId="0" applyFont="1" applyFill="1" applyBorder="1" applyAlignment="1" applyProtection="1">
      <alignment horizontal="center" vertical="center" wrapText="1"/>
      <protection locked="0"/>
    </xf>
    <xf numFmtId="3" fontId="3" fillId="4" borderId="2" xfId="0" applyNumberFormat="1" applyFont="1" applyFill="1" applyBorder="1" applyAlignment="1">
      <alignment horizontal="right" vertical="center"/>
    </xf>
    <xf numFmtId="3" fontId="3" fillId="4" borderId="17" xfId="0" applyNumberFormat="1" applyFont="1" applyFill="1" applyBorder="1" applyAlignment="1">
      <alignment horizontal="right" vertical="center"/>
    </xf>
    <xf numFmtId="0" fontId="31" fillId="0" borderId="81" xfId="0" applyFont="1" applyBorder="1" applyAlignment="1">
      <alignment horizontal="right" vertical="center"/>
    </xf>
    <xf numFmtId="0" fontId="31" fillId="0" borderId="12" xfId="0" applyFont="1" applyBorder="1" applyAlignment="1">
      <alignment horizontal="right" vertical="center"/>
    </xf>
    <xf numFmtId="0" fontId="31" fillId="0" borderId="82" xfId="0" applyFont="1" applyBorder="1" applyAlignment="1">
      <alignment horizontal="right" vertical="center"/>
    </xf>
    <xf numFmtId="14" fontId="44" fillId="4" borderId="17" xfId="4" applyNumberFormat="1" applyFont="1" applyFill="1" applyBorder="1" applyAlignment="1" applyProtection="1">
      <alignment horizontal="center" vertical="center"/>
      <protection locked="0"/>
    </xf>
    <xf numFmtId="14" fontId="44" fillId="4" borderId="22" xfId="4" applyNumberFormat="1" applyFont="1" applyFill="1" applyBorder="1" applyAlignment="1" applyProtection="1">
      <alignment horizontal="center" vertical="center"/>
      <protection locked="0"/>
    </xf>
    <xf numFmtId="14" fontId="45" fillId="4" borderId="2" xfId="4" applyNumberFormat="1" applyFont="1" applyFill="1" applyBorder="1" applyAlignment="1">
      <alignment horizontal="center" vertical="center" wrapText="1"/>
    </xf>
    <xf numFmtId="14" fontId="45" fillId="4" borderId="17" xfId="4" applyNumberFormat="1" applyFont="1" applyFill="1" applyBorder="1" applyAlignment="1">
      <alignment horizontal="center" vertical="center" wrapText="1"/>
    </xf>
    <xf numFmtId="0" fontId="31" fillId="4" borderId="16" xfId="0" applyFont="1" applyFill="1" applyBorder="1" applyAlignment="1">
      <alignment horizontal="right" vertical="center" wrapText="1"/>
    </xf>
    <xf numFmtId="0" fontId="31" fillId="4" borderId="17" xfId="0" applyFont="1" applyFill="1" applyBorder="1" applyAlignment="1">
      <alignment horizontal="right" vertical="center" wrapText="1"/>
    </xf>
    <xf numFmtId="0" fontId="44" fillId="4" borderId="17" xfId="4" applyFont="1" applyFill="1" applyBorder="1" applyAlignment="1" applyProtection="1">
      <alignment horizontal="center" vertical="center"/>
      <protection locked="0"/>
    </xf>
    <xf numFmtId="0" fontId="44" fillId="4" borderId="3" xfId="4" applyFont="1" applyFill="1" applyBorder="1" applyAlignment="1" applyProtection="1">
      <alignment horizontal="center" vertical="center"/>
      <protection locked="0"/>
    </xf>
    <xf numFmtId="0" fontId="45" fillId="4" borderId="2" xfId="4" applyFont="1" applyFill="1" applyBorder="1" applyAlignment="1">
      <alignment horizontal="right" vertical="center" wrapText="1"/>
    </xf>
    <xf numFmtId="0" fontId="45" fillId="4" borderId="17" xfId="4" applyFont="1" applyFill="1" applyBorder="1" applyAlignment="1">
      <alignment horizontal="right" vertical="center" wrapText="1"/>
    </xf>
    <xf numFmtId="0" fontId="44" fillId="4" borderId="17" xfId="4" applyFont="1" applyFill="1" applyBorder="1" applyAlignment="1" applyProtection="1">
      <alignment horizontal="center" vertical="center" wrapText="1"/>
      <protection locked="0"/>
    </xf>
    <xf numFmtId="0" fontId="44" fillId="4" borderId="3" xfId="4" applyFont="1" applyFill="1" applyBorder="1" applyAlignment="1" applyProtection="1">
      <alignment horizontal="center" vertical="center" wrapText="1"/>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0" fillId="3" borderId="52"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53" xfId="0" applyFont="1" applyFill="1" applyBorder="1" applyAlignment="1">
      <alignment horizontal="left" vertical="center"/>
    </xf>
    <xf numFmtId="0" fontId="31" fillId="0" borderId="11" xfId="0" applyFont="1" applyBorder="1" applyAlignment="1">
      <alignment horizontal="right" vertical="center"/>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3"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3" fillId="4" borderId="0" xfId="0" applyFont="1" applyFill="1" applyAlignment="1">
      <alignment horizontal="left" wrapText="1"/>
    </xf>
    <xf numFmtId="0" fontId="3" fillId="4" borderId="0" xfId="0" applyFont="1" applyFill="1" applyAlignment="1">
      <alignment horizontal="left"/>
    </xf>
    <xf numFmtId="0" fontId="12" fillId="4" borderId="0" xfId="1" applyFont="1" applyFill="1" applyAlignment="1">
      <alignment horizontal="center"/>
    </xf>
    <xf numFmtId="0" fontId="3" fillId="4" borderId="3" xfId="0" applyFont="1" applyFill="1" applyBorder="1" applyAlignment="1">
      <alignment horizontal="center" vertical="center"/>
    </xf>
    <xf numFmtId="0" fontId="3" fillId="16" borderId="17" xfId="0" applyFont="1" applyFill="1" applyBorder="1" applyAlignment="1" applyProtection="1">
      <alignment horizontal="center" vertical="center"/>
      <protection locked="0"/>
    </xf>
    <xf numFmtId="0" fontId="3" fillId="16" borderId="3" xfId="0" applyFont="1" applyFill="1" applyBorder="1" applyAlignment="1" applyProtection="1">
      <alignment horizontal="center" vertical="center"/>
      <protection locked="0"/>
    </xf>
    <xf numFmtId="0" fontId="0" fillId="4" borderId="8" xfId="0" applyFill="1" applyBorder="1" applyAlignment="1">
      <alignment horizontal="center"/>
    </xf>
    <xf numFmtId="0" fontId="8" fillId="12" borderId="16" xfId="0" applyFont="1" applyFill="1" applyBorder="1" applyAlignment="1">
      <alignment horizontal="center" wrapText="1"/>
    </xf>
    <xf numFmtId="0" fontId="8" fillId="12" borderId="3" xfId="0" applyFont="1" applyFill="1" applyBorder="1" applyAlignment="1">
      <alignment horizontal="center" wrapText="1"/>
    </xf>
    <xf numFmtId="0" fontId="8" fillId="12" borderId="2" xfId="0" applyFont="1" applyFill="1" applyBorder="1" applyAlignment="1">
      <alignment horizontal="center"/>
    </xf>
    <xf numFmtId="0" fontId="8" fillId="12" borderId="17" xfId="0" applyFont="1" applyFill="1" applyBorder="1" applyAlignment="1">
      <alignment horizontal="center"/>
    </xf>
    <xf numFmtId="0" fontId="8" fillId="12" borderId="3" xfId="0" applyFont="1" applyFill="1" applyBorder="1" applyAlignment="1">
      <alignment horizontal="center"/>
    </xf>
    <xf numFmtId="0" fontId="8" fillId="12" borderId="2" xfId="0" applyFont="1" applyFill="1" applyBorder="1" applyAlignment="1">
      <alignment horizontal="center" wrapText="1"/>
    </xf>
    <xf numFmtId="0" fontId="8" fillId="12" borderId="17" xfId="0" applyFont="1" applyFill="1" applyBorder="1" applyAlignment="1">
      <alignment horizontal="center" wrapText="1"/>
    </xf>
    <xf numFmtId="0" fontId="12" fillId="16" borderId="23" xfId="0" applyFont="1" applyFill="1" applyBorder="1" applyAlignment="1" applyProtection="1">
      <alignment horizontal="center" vertical="center" wrapText="1"/>
      <protection locked="0"/>
    </xf>
    <xf numFmtId="0" fontId="12" fillId="16" borderId="36" xfId="0" applyFont="1" applyFill="1" applyBorder="1" applyAlignment="1" applyProtection="1">
      <alignment horizontal="center" vertical="center" wrapText="1"/>
      <protection locked="0"/>
    </xf>
    <xf numFmtId="0" fontId="12" fillId="16" borderId="5" xfId="0" applyFont="1" applyFill="1" applyBorder="1" applyAlignment="1" applyProtection="1">
      <alignment horizontal="center" vertical="center" wrapText="1"/>
      <protection locked="0"/>
    </xf>
    <xf numFmtId="0" fontId="12" fillId="16" borderId="18" xfId="0" applyFont="1" applyFill="1" applyBorder="1" applyAlignment="1" applyProtection="1">
      <alignment horizontal="center" vertical="center" wrapText="1"/>
      <protection locked="0"/>
    </xf>
    <xf numFmtId="0" fontId="12" fillId="16" borderId="14" xfId="0" applyFont="1" applyFill="1" applyBorder="1" applyAlignment="1" applyProtection="1">
      <alignment horizontal="center" vertical="center" wrapText="1"/>
      <protection locked="0"/>
    </xf>
    <xf numFmtId="0" fontId="12" fillId="16" borderId="19" xfId="0" applyFont="1" applyFill="1" applyBorder="1" applyAlignment="1" applyProtection="1">
      <alignment horizontal="center" vertical="center" wrapText="1"/>
      <protection locked="0"/>
    </xf>
    <xf numFmtId="0" fontId="19" fillId="6" borderId="2" xfId="0" applyFont="1" applyFill="1" applyBorder="1" applyAlignment="1">
      <alignment horizontal="left" vertical="center" wrapText="1"/>
    </xf>
    <xf numFmtId="0" fontId="19" fillId="6" borderId="17" xfId="0" applyFont="1" applyFill="1" applyBorder="1" applyAlignment="1">
      <alignment horizontal="left" vertical="center" wrapText="1"/>
    </xf>
    <xf numFmtId="0" fontId="19" fillId="6" borderId="3" xfId="0" applyFont="1" applyFill="1" applyBorder="1" applyAlignment="1">
      <alignment horizontal="left" vertical="center" wrapText="1"/>
    </xf>
    <xf numFmtId="165" fontId="19" fillId="4" borderId="2" xfId="0" applyNumberFormat="1" applyFont="1" applyFill="1" applyBorder="1" applyAlignment="1">
      <alignment horizontal="center" vertical="center"/>
    </xf>
    <xf numFmtId="165" fontId="19" fillId="4" borderId="17" xfId="0" applyNumberFormat="1" applyFont="1" applyFill="1" applyBorder="1" applyAlignment="1">
      <alignment horizontal="center" vertical="center"/>
    </xf>
    <xf numFmtId="0" fontId="19" fillId="4" borderId="17" xfId="0" applyFont="1" applyFill="1" applyBorder="1" applyAlignment="1">
      <alignment horizontal="center" vertical="center"/>
    </xf>
    <xf numFmtId="0" fontId="19" fillId="4" borderId="3" xfId="0" applyFont="1" applyFill="1" applyBorder="1" applyAlignment="1">
      <alignment horizontal="center" vertical="center"/>
    </xf>
    <xf numFmtId="3" fontId="18" fillId="4" borderId="2" xfId="0" applyNumberFormat="1" applyFont="1" applyFill="1" applyBorder="1" applyAlignment="1">
      <alignment horizontal="center" vertical="center"/>
    </xf>
    <xf numFmtId="3" fontId="18" fillId="4" borderId="17" xfId="0" applyNumberFormat="1" applyFont="1" applyFill="1" applyBorder="1" applyAlignment="1">
      <alignment horizontal="center" vertical="center"/>
    </xf>
    <xf numFmtId="3" fontId="18" fillId="4" borderId="3" xfId="0" applyNumberFormat="1" applyFont="1" applyFill="1" applyBorder="1" applyAlignment="1">
      <alignment horizontal="center" vertical="center"/>
    </xf>
    <xf numFmtId="165" fontId="18" fillId="16" borderId="2" xfId="0" applyNumberFormat="1" applyFont="1" applyFill="1" applyBorder="1" applyAlignment="1" applyProtection="1">
      <alignment horizontal="center" vertical="center" wrapText="1"/>
      <protection locked="0"/>
    </xf>
    <xf numFmtId="165" fontId="18" fillId="16" borderId="17" xfId="0" applyNumberFormat="1" applyFont="1" applyFill="1" applyBorder="1" applyAlignment="1" applyProtection="1">
      <alignment horizontal="center" vertical="center" wrapText="1"/>
      <protection locked="0"/>
    </xf>
    <xf numFmtId="165" fontId="18" fillId="16" borderId="3" xfId="0" applyNumberFormat="1" applyFont="1" applyFill="1" applyBorder="1" applyAlignment="1" applyProtection="1">
      <alignment horizontal="center" vertical="center" wrapText="1"/>
      <protection locked="0"/>
    </xf>
    <xf numFmtId="165" fontId="18" fillId="4" borderId="22" xfId="0" applyNumberFormat="1" applyFont="1" applyFill="1" applyBorder="1" applyAlignment="1">
      <alignment horizontal="center" vertical="center" wrapText="1"/>
    </xf>
    <xf numFmtId="0" fontId="8" fillId="12" borderId="22" xfId="0" applyFont="1" applyFill="1" applyBorder="1" applyAlignment="1">
      <alignment horizontal="center" wrapText="1"/>
    </xf>
    <xf numFmtId="165" fontId="3" fillId="4" borderId="2" xfId="0" applyNumberFormat="1" applyFont="1" applyFill="1" applyBorder="1" applyAlignment="1">
      <alignment horizontal="left" vertical="center"/>
    </xf>
    <xf numFmtId="165" fontId="3" fillId="4" borderId="17" xfId="0" applyNumberFormat="1" applyFont="1" applyFill="1" applyBorder="1" applyAlignment="1">
      <alignment horizontal="left" vertical="center"/>
    </xf>
    <xf numFmtId="165" fontId="3" fillId="4" borderId="3" xfId="0" applyNumberFormat="1" applyFont="1" applyFill="1" applyBorder="1" applyAlignment="1">
      <alignment horizontal="left" vertical="center"/>
    </xf>
    <xf numFmtId="165" fontId="3" fillId="4" borderId="22" xfId="0" applyNumberFormat="1" applyFont="1" applyFill="1" applyBorder="1" applyAlignment="1">
      <alignment horizontal="left" vertical="center"/>
    </xf>
    <xf numFmtId="3" fontId="3" fillId="16" borderId="17" xfId="0" applyNumberFormat="1" applyFont="1" applyFill="1" applyBorder="1" applyAlignment="1" applyProtection="1">
      <alignment horizontal="center" vertical="center" wrapText="1"/>
      <protection locked="0"/>
    </xf>
    <xf numFmtId="3" fontId="3" fillId="16" borderId="3"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lignment horizontal="right" vertical="center"/>
    </xf>
    <xf numFmtId="1" fontId="3" fillId="4" borderId="17" xfId="0" applyNumberFormat="1" applyFont="1" applyFill="1" applyBorder="1" applyAlignment="1">
      <alignment horizontal="right" vertical="center"/>
    </xf>
    <xf numFmtId="1" fontId="3" fillId="4" borderId="3" xfId="0" applyNumberFormat="1" applyFont="1" applyFill="1" applyBorder="1" applyAlignment="1">
      <alignment horizontal="right" vertical="center"/>
    </xf>
    <xf numFmtId="1" fontId="3" fillId="4" borderId="2" xfId="0" applyNumberFormat="1" applyFont="1" applyFill="1" applyBorder="1" applyAlignment="1">
      <alignment horizontal="left" vertical="center"/>
    </xf>
    <xf numFmtId="1" fontId="3" fillId="4" borderId="3" xfId="0" applyNumberFormat="1" applyFont="1" applyFill="1" applyBorder="1" applyAlignment="1">
      <alignment horizontal="left" vertical="center"/>
    </xf>
    <xf numFmtId="3" fontId="18" fillId="16" borderId="2" xfId="0" applyNumberFormat="1" applyFont="1" applyFill="1" applyBorder="1" applyAlignment="1" applyProtection="1">
      <alignment horizontal="center" vertical="center"/>
      <protection locked="0"/>
    </xf>
    <xf numFmtId="3" fontId="18" fillId="16" borderId="17" xfId="0" applyNumberFormat="1" applyFont="1" applyFill="1" applyBorder="1" applyAlignment="1" applyProtection="1">
      <alignment horizontal="center" vertical="center"/>
      <protection locked="0"/>
    </xf>
    <xf numFmtId="3" fontId="18" fillId="16" borderId="3" xfId="0" applyNumberFormat="1" applyFont="1" applyFill="1" applyBorder="1" applyAlignment="1" applyProtection="1">
      <alignment horizontal="center" vertical="center"/>
      <protection locked="0"/>
    </xf>
    <xf numFmtId="9" fontId="3" fillId="16" borderId="17" xfId="0" applyNumberFormat="1" applyFont="1" applyFill="1" applyBorder="1" applyAlignment="1" applyProtection="1">
      <alignment horizontal="center" vertical="center"/>
      <protection locked="0"/>
    </xf>
    <xf numFmtId="0" fontId="19" fillId="6" borderId="2"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0" fontId="12" fillId="4" borderId="34" xfId="0" applyFont="1" applyFill="1" applyBorder="1" applyAlignment="1">
      <alignment horizontal="center" vertical="center" wrapText="1"/>
    </xf>
    <xf numFmtId="0" fontId="3" fillId="4" borderId="44" xfId="0" applyFont="1" applyFill="1" applyBorder="1" applyAlignment="1">
      <alignment horizontal="right" vertical="center"/>
    </xf>
    <xf numFmtId="0" fontId="3" fillId="4" borderId="45" xfId="0" applyFont="1" applyFill="1" applyBorder="1" applyAlignment="1">
      <alignment horizontal="right" vertical="center"/>
    </xf>
    <xf numFmtId="9" fontId="6" fillId="16" borderId="45" xfId="0" applyNumberFormat="1" applyFont="1" applyFill="1" applyBorder="1" applyAlignment="1" applyProtection="1">
      <alignment horizontal="center" vertical="center" wrapText="1"/>
      <protection locked="0"/>
    </xf>
    <xf numFmtId="9" fontId="6" fillId="16" borderId="46" xfId="0" applyNumberFormat="1" applyFont="1" applyFill="1" applyBorder="1" applyAlignment="1" applyProtection="1">
      <alignment horizontal="center" vertical="center" wrapText="1"/>
      <protection locked="0"/>
    </xf>
    <xf numFmtId="9" fontId="6" fillId="16" borderId="45" xfId="0" applyNumberFormat="1" applyFont="1" applyFill="1" applyBorder="1" applyAlignment="1" applyProtection="1">
      <alignment horizontal="center" vertical="center"/>
      <protection locked="0"/>
    </xf>
    <xf numFmtId="9" fontId="6" fillId="16" borderId="46" xfId="0" applyNumberFormat="1" applyFont="1" applyFill="1" applyBorder="1" applyAlignment="1" applyProtection="1">
      <alignment horizontal="center" vertical="center"/>
      <protection locked="0"/>
    </xf>
    <xf numFmtId="165" fontId="3" fillId="4" borderId="44" xfId="0" applyNumberFormat="1" applyFont="1" applyFill="1" applyBorder="1" applyAlignment="1">
      <alignment horizontal="right" vertical="center" wrapText="1"/>
    </xf>
    <xf numFmtId="165" fontId="3" fillId="4" borderId="45" xfId="0" applyNumberFormat="1" applyFont="1" applyFill="1" applyBorder="1" applyAlignment="1">
      <alignment horizontal="right" vertical="center" wrapText="1"/>
    </xf>
    <xf numFmtId="165" fontId="6" fillId="16" borderId="45" xfId="0" applyNumberFormat="1" applyFont="1" applyFill="1" applyBorder="1" applyAlignment="1" applyProtection="1">
      <alignment horizontal="center" vertical="center"/>
      <protection locked="0"/>
    </xf>
    <xf numFmtId="165" fontId="6" fillId="16" borderId="47" xfId="0" applyNumberFormat="1" applyFont="1" applyFill="1" applyBorder="1" applyAlignment="1" applyProtection="1">
      <alignment horizontal="center" vertical="center"/>
      <protection locked="0"/>
    </xf>
    <xf numFmtId="0" fontId="12" fillId="16" borderId="42" xfId="0" applyFont="1" applyFill="1" applyBorder="1" applyAlignment="1" applyProtection="1">
      <alignment horizontal="center" vertical="center" wrapText="1"/>
      <protection locked="0"/>
    </xf>
    <xf numFmtId="0" fontId="12" fillId="16" borderId="43" xfId="0" applyFont="1" applyFill="1" applyBorder="1" applyAlignment="1" applyProtection="1">
      <alignment horizontal="center" vertical="center" wrapText="1"/>
      <protection locked="0"/>
    </xf>
    <xf numFmtId="0" fontId="43" fillId="11" borderId="55" xfId="0" applyFont="1" applyFill="1" applyBorder="1" applyAlignment="1">
      <alignment horizontal="right" vertical="center" wrapText="1"/>
    </xf>
    <xf numFmtId="0" fontId="43" fillId="11" borderId="56" xfId="0" applyFont="1" applyFill="1" applyBorder="1" applyAlignment="1">
      <alignment horizontal="right" vertical="center" wrapText="1"/>
    </xf>
    <xf numFmtId="0" fontId="43" fillId="11" borderId="57" xfId="0" applyFont="1" applyFill="1" applyBorder="1" applyAlignment="1">
      <alignment horizontal="right" vertical="center" wrapText="1"/>
    </xf>
    <xf numFmtId="165" fontId="22" fillId="11" borderId="142" xfId="0" applyNumberFormat="1" applyFont="1" applyFill="1" applyBorder="1" applyAlignment="1">
      <alignment horizontal="center" vertical="center"/>
    </xf>
    <xf numFmtId="165" fontId="22" fillId="11" borderId="56" xfId="0" applyNumberFormat="1" applyFont="1" applyFill="1" applyBorder="1" applyAlignment="1">
      <alignment horizontal="center" vertical="center"/>
    </xf>
    <xf numFmtId="165" fontId="22" fillId="11" borderId="57" xfId="0" applyNumberFormat="1" applyFont="1" applyFill="1" applyBorder="1" applyAlignment="1">
      <alignment horizontal="center" vertical="center"/>
    </xf>
    <xf numFmtId="165" fontId="22" fillId="11" borderId="142" xfId="0" applyNumberFormat="1" applyFont="1" applyFill="1" applyBorder="1" applyAlignment="1">
      <alignment horizontal="center" vertical="center" wrapText="1"/>
    </xf>
    <xf numFmtId="165" fontId="22" fillId="11" borderId="56" xfId="0" applyNumberFormat="1" applyFont="1" applyFill="1" applyBorder="1" applyAlignment="1">
      <alignment horizontal="center" vertical="center" wrapText="1"/>
    </xf>
    <xf numFmtId="165" fontId="22" fillId="11" borderId="57" xfId="0" applyNumberFormat="1" applyFont="1" applyFill="1" applyBorder="1" applyAlignment="1">
      <alignment horizontal="center" vertical="center" wrapText="1"/>
    </xf>
    <xf numFmtId="165" fontId="22" fillId="11" borderId="143" xfId="0" applyNumberFormat="1" applyFont="1" applyFill="1" applyBorder="1" applyAlignment="1">
      <alignment horizontal="center" vertical="center" wrapText="1"/>
    </xf>
    <xf numFmtId="165" fontId="3" fillId="4" borderId="2" xfId="0" applyNumberFormat="1" applyFont="1" applyFill="1" applyBorder="1" applyAlignment="1">
      <alignment horizontal="right" vertical="center"/>
    </xf>
    <xf numFmtId="165" fontId="3" fillId="4" borderId="17" xfId="0" applyNumberFormat="1" applyFont="1" applyFill="1" applyBorder="1" applyAlignment="1">
      <alignment horizontal="right" vertical="center"/>
    </xf>
    <xf numFmtId="165" fontId="6" fillId="16" borderId="3" xfId="0" applyNumberFormat="1" applyFont="1" applyFill="1" applyBorder="1" applyAlignment="1" applyProtection="1">
      <alignment horizontal="center" vertical="center"/>
      <protection locked="0"/>
    </xf>
    <xf numFmtId="0" fontId="6" fillId="16" borderId="17" xfId="0" applyFont="1" applyFill="1" applyBorder="1" applyAlignment="1" applyProtection="1">
      <alignment horizontal="center" vertical="center"/>
      <protection locked="0"/>
    </xf>
    <xf numFmtId="0" fontId="6" fillId="16" borderId="22" xfId="0" applyFont="1" applyFill="1" applyBorder="1" applyAlignment="1" applyProtection="1">
      <alignment horizontal="center" vertical="center"/>
      <protection locked="0"/>
    </xf>
    <xf numFmtId="0" fontId="3" fillId="4" borderId="2" xfId="0" applyFont="1" applyFill="1" applyBorder="1" applyAlignment="1">
      <alignment horizontal="center" vertical="center" wrapText="1"/>
    </xf>
    <xf numFmtId="0" fontId="3" fillId="4" borderId="17" xfId="0" applyFont="1" applyFill="1" applyBorder="1" applyAlignment="1">
      <alignment horizontal="center" vertical="center" wrapText="1"/>
    </xf>
    <xf numFmtId="165" fontId="3" fillId="4" borderId="2" xfId="0" applyNumberFormat="1" applyFont="1" applyFill="1" applyBorder="1" applyAlignment="1">
      <alignment horizontal="center" vertical="center"/>
    </xf>
    <xf numFmtId="165" fontId="3" fillId="4" borderId="17" xfId="0" applyNumberFormat="1" applyFont="1" applyFill="1" applyBorder="1" applyAlignment="1">
      <alignment horizontal="center" vertical="center"/>
    </xf>
    <xf numFmtId="0" fontId="6" fillId="16" borderId="3" xfId="0" applyFont="1" applyFill="1" applyBorder="1" applyAlignment="1" applyProtection="1">
      <alignment horizontal="center" vertical="center"/>
      <protection locked="0"/>
    </xf>
    <xf numFmtId="2" fontId="6" fillId="16" borderId="22" xfId="0" applyNumberFormat="1" applyFont="1" applyFill="1" applyBorder="1" applyAlignment="1" applyProtection="1">
      <alignment horizontal="center" vertical="center"/>
      <protection locked="0"/>
    </xf>
    <xf numFmtId="3" fontId="6" fillId="16" borderId="22" xfId="0" applyNumberFormat="1" applyFont="1" applyFill="1" applyBorder="1" applyAlignment="1" applyProtection="1">
      <alignment horizontal="center" vertical="center"/>
      <protection locked="0"/>
    </xf>
    <xf numFmtId="165" fontId="12" fillId="4" borderId="2" xfId="0" applyNumberFormat="1" applyFont="1" applyFill="1" applyBorder="1" applyAlignment="1">
      <alignment horizontal="center" vertical="center"/>
    </xf>
    <xf numFmtId="165" fontId="12" fillId="4" borderId="17" xfId="0" applyNumberFormat="1" applyFont="1" applyFill="1" applyBorder="1" applyAlignment="1">
      <alignment horizontal="center" vertical="center"/>
    </xf>
    <xf numFmtId="0" fontId="0" fillId="4" borderId="34" xfId="0" applyFill="1" applyBorder="1" applyAlignment="1">
      <alignment horizontal="center" vertical="center"/>
    </xf>
    <xf numFmtId="165" fontId="31" fillId="0" borderId="81" xfId="0" applyNumberFormat="1" applyFont="1" applyBorder="1" applyAlignment="1" applyProtection="1">
      <alignment horizontal="center" vertical="center"/>
      <protection locked="0"/>
    </xf>
    <xf numFmtId="165" fontId="31" fillId="0" borderId="12" xfId="0" applyNumberFormat="1" applyFont="1" applyBorder="1" applyAlignment="1" applyProtection="1">
      <alignment horizontal="center" vertical="center"/>
      <protection locked="0"/>
    </xf>
    <xf numFmtId="165" fontId="31" fillId="0" borderId="82" xfId="0" applyNumberFormat="1" applyFont="1" applyBorder="1" applyAlignment="1" applyProtection="1">
      <alignment horizontal="center" vertical="center"/>
      <protection locked="0"/>
    </xf>
    <xf numFmtId="165" fontId="31" fillId="0" borderId="13" xfId="0" applyNumberFormat="1" applyFont="1" applyBorder="1" applyAlignment="1">
      <alignment horizontal="center" vertical="center"/>
    </xf>
    <xf numFmtId="0" fontId="22" fillId="0" borderId="39" xfId="0" applyFont="1" applyBorder="1" applyAlignment="1">
      <alignment horizontal="right"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165" fontId="1" fillId="0" borderId="144"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120" xfId="0" applyNumberFormat="1" applyFont="1" applyBorder="1" applyAlignment="1">
      <alignment horizontal="center" vertical="center"/>
    </xf>
    <xf numFmtId="0" fontId="31" fillId="0" borderId="2" xfId="0" applyFont="1" applyBorder="1" applyAlignment="1">
      <alignment horizontal="right" vertical="center"/>
    </xf>
    <xf numFmtId="0" fontId="31" fillId="0" borderId="17" xfId="0" applyFont="1" applyBorder="1" applyAlignment="1">
      <alignment horizontal="right" vertical="center"/>
    </xf>
    <xf numFmtId="0" fontId="31" fillId="0" borderId="3" xfId="0" applyFont="1" applyBorder="1" applyAlignment="1">
      <alignment horizontal="right" vertical="center"/>
    </xf>
    <xf numFmtId="165" fontId="31" fillId="0" borderId="2" xfId="0" applyNumberFormat="1" applyFont="1" applyBorder="1" applyAlignment="1">
      <alignment horizontal="center" vertical="center"/>
    </xf>
    <xf numFmtId="165" fontId="31" fillId="0" borderId="17" xfId="0" applyNumberFormat="1" applyFont="1" applyBorder="1" applyAlignment="1">
      <alignment horizontal="center" vertical="center"/>
    </xf>
    <xf numFmtId="165" fontId="31" fillId="0" borderId="22"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22" xfId="0" applyNumberFormat="1" applyFont="1" applyBorder="1" applyAlignment="1">
      <alignment horizontal="center" vertical="center"/>
    </xf>
    <xf numFmtId="0" fontId="31" fillId="0" borderId="16" xfId="0" applyFont="1" applyBorder="1" applyAlignment="1">
      <alignment horizontal="right" vertical="center"/>
    </xf>
    <xf numFmtId="165" fontId="31" fillId="0" borderId="3" xfId="0" applyNumberFormat="1" applyFont="1" applyBorder="1" applyAlignment="1">
      <alignment horizontal="center" vertical="center"/>
    </xf>
    <xf numFmtId="165" fontId="31" fillId="0" borderId="2" xfId="0" applyNumberFormat="1" applyFont="1" applyBorder="1" applyAlignment="1" applyProtection="1">
      <alignment horizontal="center" vertical="center"/>
      <protection locked="0"/>
    </xf>
    <xf numFmtId="165" fontId="31" fillId="0" borderId="17" xfId="0" applyNumberFormat="1" applyFont="1" applyBorder="1" applyAlignment="1" applyProtection="1">
      <alignment horizontal="center" vertical="center"/>
      <protection locked="0"/>
    </xf>
    <xf numFmtId="165" fontId="31" fillId="0" borderId="3" xfId="0" applyNumberFormat="1" applyFont="1" applyBorder="1" applyAlignment="1" applyProtection="1">
      <alignment horizontal="center" vertical="center"/>
      <protection locked="0"/>
    </xf>
    <xf numFmtId="0" fontId="22" fillId="0" borderId="34" xfId="0" applyFont="1" applyBorder="1" applyAlignment="1">
      <alignment horizontal="center"/>
    </xf>
    <xf numFmtId="0" fontId="27" fillId="4" borderId="52" xfId="4" applyFont="1" applyFill="1" applyBorder="1" applyAlignment="1" applyProtection="1">
      <alignment horizontal="center" vertical="center"/>
      <protection locked="0"/>
    </xf>
    <xf numFmtId="0" fontId="27" fillId="4" borderId="34" xfId="4" applyFont="1" applyFill="1" applyBorder="1" applyAlignment="1" applyProtection="1">
      <alignment horizontal="center" vertical="center"/>
      <protection locked="0"/>
    </xf>
    <xf numFmtId="0" fontId="28" fillId="0" borderId="34" xfId="4" applyFont="1" applyBorder="1" applyAlignment="1">
      <alignment horizontal="center" vertical="center"/>
    </xf>
    <xf numFmtId="0" fontId="28" fillId="0" borderId="54" xfId="4" applyFont="1" applyBorder="1" applyAlignment="1">
      <alignment horizontal="center" vertical="center"/>
    </xf>
    <xf numFmtId="0" fontId="28" fillId="0" borderId="85" xfId="4" applyFont="1" applyBorder="1" applyAlignment="1" applyProtection="1">
      <alignment horizontal="center" vertical="center"/>
      <protection locked="0"/>
    </xf>
    <xf numFmtId="0" fontId="28" fillId="0" borderId="34" xfId="4" applyFont="1" applyBorder="1" applyAlignment="1" applyProtection="1">
      <alignment horizontal="center" vertical="center"/>
      <protection locked="0"/>
    </xf>
    <xf numFmtId="0" fontId="3" fillId="0" borderId="34" xfId="0" applyFont="1" applyBorder="1" applyAlignment="1">
      <alignment horizontal="left" vertical="center"/>
    </xf>
    <xf numFmtId="0" fontId="3" fillId="0" borderId="54" xfId="0" applyFont="1" applyBorder="1" applyAlignment="1">
      <alignment horizontal="left" vertical="center"/>
    </xf>
    <xf numFmtId="0" fontId="3" fillId="0" borderId="8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3" xfId="0" applyFont="1" applyBorder="1" applyAlignment="1">
      <alignment horizontal="left" vertical="center"/>
    </xf>
    <xf numFmtId="0" fontId="24" fillId="2" borderId="52" xfId="4" applyFont="1" applyFill="1" applyBorder="1" applyAlignment="1">
      <alignment horizontal="right" vertical="center"/>
    </xf>
    <xf numFmtId="0" fontId="24" fillId="2" borderId="34" xfId="4" applyFont="1" applyFill="1" applyBorder="1" applyAlignment="1">
      <alignment horizontal="right" vertical="center"/>
    </xf>
    <xf numFmtId="0" fontId="24" fillId="2" borderId="53" xfId="4" applyFont="1" applyFill="1" applyBorder="1" applyAlignment="1">
      <alignment horizontal="right" vertical="center"/>
    </xf>
    <xf numFmtId="0" fontId="24" fillId="4" borderId="39" xfId="4" applyFont="1" applyFill="1" applyBorder="1" applyAlignment="1">
      <alignment horizontal="right" vertical="center"/>
    </xf>
    <xf numFmtId="0" fontId="24" fillId="4" borderId="20" xfId="4" applyFont="1" applyFill="1" applyBorder="1" applyAlignment="1">
      <alignment horizontal="right" vertical="center"/>
    </xf>
    <xf numFmtId="0" fontId="21" fillId="3" borderId="27" xfId="4" applyFont="1" applyFill="1" applyBorder="1" applyAlignment="1">
      <alignment horizontal="left" vertical="top" wrapText="1"/>
    </xf>
    <xf numFmtId="0" fontId="21" fillId="3" borderId="28" xfId="4" applyFont="1" applyFill="1" applyBorder="1" applyAlignment="1">
      <alignment horizontal="left" vertical="top" wrapText="1"/>
    </xf>
    <xf numFmtId="0" fontId="21" fillId="3" borderId="32" xfId="4" applyFont="1" applyFill="1" applyBorder="1" applyAlignment="1">
      <alignment horizontal="left" vertical="top" wrapText="1"/>
    </xf>
    <xf numFmtId="14" fontId="29" fillId="0" borderId="14" xfId="4" applyNumberFormat="1" applyFont="1" applyBorder="1" applyAlignment="1">
      <alignment horizontal="left" vertical="center" wrapText="1"/>
    </xf>
    <xf numFmtId="14" fontId="29" fillId="0" borderId="10" xfId="4" applyNumberFormat="1" applyFont="1" applyBorder="1" applyAlignment="1">
      <alignment horizontal="left" vertical="center" wrapText="1"/>
    </xf>
    <xf numFmtId="14" fontId="29" fillId="0" borderId="15" xfId="4" applyNumberFormat="1" applyFont="1" applyBorder="1" applyAlignment="1">
      <alignment horizontal="left" vertical="center" wrapText="1"/>
    </xf>
    <xf numFmtId="0" fontId="21" fillId="3" borderId="27" xfId="4" applyFont="1" applyFill="1" applyBorder="1" applyAlignment="1">
      <alignment horizontal="left" vertical="center" wrapText="1"/>
    </xf>
    <xf numFmtId="0" fontId="21" fillId="3" borderId="28" xfId="4" applyFont="1" applyFill="1" applyBorder="1" applyAlignment="1">
      <alignment horizontal="left" vertical="center" wrapText="1"/>
    </xf>
    <xf numFmtId="0" fontId="21" fillId="3" borderId="32" xfId="4" applyFont="1" applyFill="1" applyBorder="1" applyAlignment="1">
      <alignment horizontal="left" vertical="center" wrapText="1"/>
    </xf>
    <xf numFmtId="14" fontId="29" fillId="0" borderId="5" xfId="4" applyNumberFormat="1" applyFont="1" applyBorder="1" applyAlignment="1">
      <alignment horizontal="left" vertical="center" wrapText="1"/>
    </xf>
    <xf numFmtId="14" fontId="29" fillId="0" borderId="0" xfId="4" applyNumberFormat="1" applyFont="1" applyAlignment="1">
      <alignment horizontal="left" vertical="center" wrapText="1"/>
    </xf>
    <xf numFmtId="14" fontId="29" fillId="0" borderId="6" xfId="4" applyNumberFormat="1" applyFont="1" applyBorder="1" applyAlignment="1">
      <alignment horizontal="left" vertical="center" wrapText="1"/>
    </xf>
    <xf numFmtId="14" fontId="45" fillId="4" borderId="144" xfId="4" applyNumberFormat="1" applyFont="1" applyFill="1" applyBorder="1" applyAlignment="1">
      <alignment horizontal="center" vertical="center" wrapText="1"/>
    </xf>
    <xf numFmtId="14" fontId="45" fillId="4" borderId="20" xfId="4" applyNumberFormat="1" applyFont="1" applyFill="1" applyBorder="1" applyAlignment="1">
      <alignment horizontal="center" vertical="center" wrapText="1"/>
    </xf>
    <xf numFmtId="14" fontId="44" fillId="4" borderId="20" xfId="4" applyNumberFormat="1" applyFont="1" applyFill="1" applyBorder="1" applyAlignment="1" applyProtection="1">
      <alignment horizontal="center" vertical="center"/>
      <protection locked="0"/>
    </xf>
    <xf numFmtId="14" fontId="44" fillId="4" borderId="120" xfId="4" applyNumberFormat="1" applyFont="1" applyFill="1" applyBorder="1" applyAlignment="1" applyProtection="1">
      <alignment horizontal="center" vertical="center"/>
      <protection locked="0"/>
    </xf>
    <xf numFmtId="0" fontId="56" fillId="4" borderId="20" xfId="4" applyFont="1" applyFill="1" applyBorder="1" applyAlignment="1" applyProtection="1">
      <alignment horizontal="center" vertical="center"/>
      <protection locked="0"/>
    </xf>
    <xf numFmtId="0" fontId="56" fillId="4" borderId="21" xfId="4" applyFont="1" applyFill="1" applyBorder="1" applyAlignment="1" applyProtection="1">
      <alignment horizontal="center" vertical="center"/>
      <protection locked="0"/>
    </xf>
    <xf numFmtId="0" fontId="23" fillId="4" borderId="34" xfId="4" applyFont="1" applyFill="1" applyBorder="1" applyAlignment="1">
      <alignment horizontal="center" vertical="center"/>
    </xf>
    <xf numFmtId="0" fontId="1" fillId="4" borderId="0" xfId="0" applyFont="1" applyFill="1" applyAlignment="1">
      <alignment horizontal="center"/>
    </xf>
    <xf numFmtId="1" fontId="1" fillId="4" borderId="0" xfId="0" applyNumberFormat="1" applyFont="1" applyFill="1" applyAlignment="1">
      <alignment horizontal="center"/>
    </xf>
    <xf numFmtId="4" fontId="6" fillId="16" borderId="17" xfId="0" applyNumberFormat="1" applyFont="1" applyFill="1" applyBorder="1" applyAlignment="1" applyProtection="1">
      <alignment horizontal="center" vertical="center" wrapText="1"/>
      <protection locked="0"/>
    </xf>
    <xf numFmtId="4" fontId="6" fillId="16" borderId="3" xfId="0" applyNumberFormat="1" applyFont="1" applyFill="1" applyBorder="1" applyAlignment="1" applyProtection="1">
      <alignment horizontal="center" vertical="center" wrapText="1"/>
      <protection locked="0"/>
    </xf>
    <xf numFmtId="3" fontId="3" fillId="4" borderId="2" xfId="0" applyNumberFormat="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4" fontId="6" fillId="16" borderId="22" xfId="0" applyNumberFormat="1" applyFont="1" applyFill="1" applyBorder="1" applyAlignment="1" applyProtection="1">
      <alignment horizontal="center" vertical="center" wrapText="1"/>
      <protection locked="0"/>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3" fontId="16" fillId="0" borderId="44" xfId="0" applyNumberFormat="1" applyFont="1" applyBorder="1" applyAlignment="1" applyProtection="1">
      <alignment horizontal="center" vertical="center"/>
      <protection locked="0"/>
    </xf>
    <xf numFmtId="3"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protection locked="0"/>
    </xf>
    <xf numFmtId="165" fontId="16" fillId="0" borderId="45"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lignment horizontal="center" vertical="center"/>
    </xf>
    <xf numFmtId="165" fontId="16" fillId="0" borderId="45" xfId="0" applyNumberFormat="1" applyFont="1" applyBorder="1" applyAlignment="1">
      <alignment horizontal="center" vertical="center"/>
    </xf>
    <xf numFmtId="165" fontId="16" fillId="0" borderId="46" xfId="0" applyNumberFormat="1" applyFont="1" applyBorder="1" applyAlignment="1">
      <alignment horizontal="center" vertical="center"/>
    </xf>
    <xf numFmtId="165" fontId="16" fillId="0" borderId="47" xfId="0" applyNumberFormat="1" applyFont="1" applyBorder="1" applyAlignment="1">
      <alignment horizontal="center" vertical="center"/>
    </xf>
    <xf numFmtId="0" fontId="22" fillId="11" borderId="55" xfId="0" applyFont="1" applyFill="1" applyBorder="1" applyAlignment="1">
      <alignment horizontal="right" vertical="center"/>
    </xf>
    <xf numFmtId="0" fontId="22" fillId="11" borderId="56" xfId="0" applyFont="1" applyFill="1" applyBorder="1" applyAlignment="1">
      <alignment horizontal="right" vertical="center"/>
    </xf>
    <xf numFmtId="0" fontId="22" fillId="11" borderId="57" xfId="0" applyFont="1" applyFill="1" applyBorder="1" applyAlignment="1">
      <alignment horizontal="right" vertical="center"/>
    </xf>
    <xf numFmtId="165" fontId="22" fillId="11" borderId="143" xfId="0" applyNumberFormat="1" applyFont="1" applyFill="1" applyBorder="1" applyAlignment="1">
      <alignment horizontal="center" vertical="center"/>
    </xf>
    <xf numFmtId="0" fontId="1" fillId="0" borderId="0" xfId="0" applyFont="1" applyAlignment="1">
      <alignment horizontal="right" vertical="center"/>
    </xf>
    <xf numFmtId="0" fontId="1" fillId="4" borderId="0" xfId="0" applyFont="1" applyFill="1" applyAlignment="1">
      <alignment horizontal="right"/>
    </xf>
    <xf numFmtId="0" fontId="1" fillId="4" borderId="0" xfId="0" applyFont="1" applyFill="1" applyAlignment="1">
      <alignment horizontal="left"/>
    </xf>
    <xf numFmtId="0" fontId="0" fillId="0" borderId="0" xfId="0" applyAlignment="1">
      <alignment horizontal="center" vertical="center"/>
    </xf>
    <xf numFmtId="0" fontId="0" fillId="14" borderId="0" xfId="0" applyFill="1" applyAlignment="1">
      <alignment horizontal="center" vertical="center"/>
    </xf>
    <xf numFmtId="2" fontId="22" fillId="4" borderId="0" xfId="0" applyNumberFormat="1" applyFont="1" applyFill="1" applyAlignment="1" applyProtection="1">
      <alignment horizontal="left" vertical="center"/>
      <protection locked="0"/>
    </xf>
    <xf numFmtId="0" fontId="0" fillId="14" borderId="65" xfId="0" applyFill="1" applyBorder="1" applyAlignment="1">
      <alignment horizontal="right" vertical="center"/>
    </xf>
    <xf numFmtId="0" fontId="0" fillId="14" borderId="0" xfId="0" applyFill="1" applyAlignment="1">
      <alignment horizontal="right" vertical="center"/>
    </xf>
    <xf numFmtId="3" fontId="1" fillId="14" borderId="0" xfId="0" applyNumberFormat="1" applyFont="1" applyFill="1" applyAlignment="1" applyProtection="1">
      <alignment horizontal="left" vertical="center"/>
      <protection locked="0"/>
    </xf>
    <xf numFmtId="2" fontId="1" fillId="14" borderId="0" xfId="0" applyNumberFormat="1" applyFont="1" applyFill="1" applyAlignment="1" applyProtection="1">
      <alignment horizontal="left" vertical="center"/>
      <protection locked="0"/>
    </xf>
    <xf numFmtId="2" fontId="22" fillId="14" borderId="0" xfId="0" applyNumberFormat="1" applyFont="1" applyFill="1" applyAlignment="1" applyProtection="1">
      <alignment horizontal="left" vertical="center"/>
      <protection locked="0"/>
    </xf>
    <xf numFmtId="0" fontId="0" fillId="4" borderId="65" xfId="0" applyFill="1" applyBorder="1" applyAlignment="1">
      <alignment horizontal="right" vertical="center"/>
    </xf>
    <xf numFmtId="0" fontId="0" fillId="4" borderId="0" xfId="0" applyFill="1" applyAlignment="1">
      <alignment horizontal="right" vertical="center"/>
    </xf>
    <xf numFmtId="3" fontId="1" fillId="4" borderId="0" xfId="0" applyNumberFormat="1" applyFont="1" applyFill="1" applyAlignment="1" applyProtection="1">
      <alignment horizontal="left" vertical="center"/>
      <protection locked="0"/>
    </xf>
    <xf numFmtId="2" fontId="1" fillId="4" borderId="0" xfId="0" applyNumberFormat="1" applyFont="1" applyFill="1" applyAlignment="1" applyProtection="1">
      <alignment horizontal="left" vertical="center"/>
      <protection locked="0"/>
    </xf>
    <xf numFmtId="0" fontId="0" fillId="16" borderId="0" xfId="0" applyFill="1" applyAlignment="1">
      <alignment horizontal="right" vertical="center"/>
    </xf>
    <xf numFmtId="0" fontId="0" fillId="16" borderId="18" xfId="0" applyFill="1" applyBorder="1" applyAlignment="1">
      <alignment horizontal="right" vertical="center"/>
    </xf>
    <xf numFmtId="0" fontId="1" fillId="14" borderId="0" xfId="0" applyFont="1" applyFill="1" applyAlignment="1" applyProtection="1">
      <alignment horizontal="left" vertical="center"/>
      <protection locked="0"/>
    </xf>
    <xf numFmtId="0" fontId="0" fillId="4" borderId="0" xfId="0" applyFill="1" applyAlignment="1">
      <alignment horizontal="center" vertical="center"/>
    </xf>
    <xf numFmtId="0" fontId="1" fillId="4" borderId="0" xfId="0" applyFont="1" applyFill="1" applyAlignment="1">
      <alignment horizontal="left" vertical="center"/>
    </xf>
    <xf numFmtId="0" fontId="0" fillId="13" borderId="0" xfId="0" applyFill="1" applyAlignment="1">
      <alignment horizontal="center"/>
    </xf>
    <xf numFmtId="0" fontId="0" fillId="16" borderId="0" xfId="0" applyFill="1" applyAlignment="1" applyProtection="1">
      <alignment horizontal="left" vertical="top" wrapText="1"/>
      <protection locked="0"/>
    </xf>
    <xf numFmtId="0" fontId="0" fillId="4" borderId="0" xfId="0" applyFill="1" applyAlignment="1">
      <alignment horizontal="center" vertical="top"/>
    </xf>
    <xf numFmtId="0" fontId="1" fillId="4" borderId="0" xfId="0" applyFont="1" applyFill="1" applyAlignment="1">
      <alignment horizontal="left" vertical="top"/>
    </xf>
    <xf numFmtId="0" fontId="1" fillId="14" borderId="0" xfId="0" applyFont="1" applyFill="1" applyAlignment="1" applyProtection="1">
      <alignment horizontal="center" vertical="center"/>
      <protection locked="0"/>
    </xf>
    <xf numFmtId="0" fontId="1" fillId="14" borderId="0" xfId="0" applyFont="1" applyFill="1" applyAlignment="1">
      <alignment horizontal="left" vertical="center"/>
    </xf>
    <xf numFmtId="0" fontId="0" fillId="0" borderId="0" xfId="0" applyAlignment="1">
      <alignment horizontal="right" vertical="center"/>
    </xf>
    <xf numFmtId="0" fontId="1" fillId="0" borderId="65" xfId="0" applyFont="1" applyBorder="1" applyAlignment="1">
      <alignment horizontal="center" vertical="center"/>
    </xf>
    <xf numFmtId="0" fontId="1" fillId="0" borderId="0" xfId="0" applyFont="1" applyAlignment="1">
      <alignment horizontal="center" vertical="center"/>
    </xf>
    <xf numFmtId="0" fontId="1" fillId="20" borderId="65" xfId="0" applyFont="1" applyFill="1" applyBorder="1" applyAlignment="1" applyProtection="1">
      <alignment horizontal="center" vertical="center"/>
      <protection locked="0"/>
    </xf>
    <xf numFmtId="0" fontId="1" fillId="20" borderId="0" xfId="0" applyFont="1" applyFill="1" applyAlignment="1" applyProtection="1">
      <alignment horizontal="center" vertical="center"/>
      <protection locked="0"/>
    </xf>
    <xf numFmtId="0" fontId="0" fillId="0" borderId="0" xfId="0" applyAlignment="1">
      <alignment horizontal="left" vertical="center"/>
    </xf>
    <xf numFmtId="0" fontId="1" fillId="0" borderId="0" xfId="0" applyFont="1" applyAlignment="1">
      <alignment horizontal="left" vertical="center"/>
    </xf>
    <xf numFmtId="165" fontId="1" fillId="0" borderId="79" xfId="0" applyNumberFormat="1" applyFont="1" applyBorder="1" applyAlignment="1">
      <alignment horizontal="center" vertical="center"/>
    </xf>
    <xf numFmtId="165" fontId="0" fillId="0" borderId="65" xfId="0" applyNumberFormat="1" applyBorder="1" applyAlignment="1">
      <alignment horizontal="center" vertical="center"/>
    </xf>
    <xf numFmtId="165" fontId="0" fillId="0" borderId="0" xfId="0" applyNumberFormat="1" applyAlignment="1">
      <alignment horizontal="center" vertical="center"/>
    </xf>
    <xf numFmtId="0" fontId="0" fillId="14" borderId="18" xfId="0" applyFill="1" applyBorder="1" applyAlignment="1">
      <alignment horizontal="right" vertical="center"/>
    </xf>
    <xf numFmtId="3" fontId="1" fillId="17" borderId="0" xfId="0" applyNumberFormat="1" applyFont="1" applyFill="1" applyAlignment="1" applyProtection="1">
      <alignment horizontal="left" vertical="center"/>
      <protection locked="0"/>
    </xf>
    <xf numFmtId="0" fontId="0" fillId="4" borderId="0" xfId="0" applyFill="1" applyAlignment="1">
      <alignment horizontal="left" vertical="center"/>
    </xf>
    <xf numFmtId="0" fontId="1" fillId="16" borderId="65" xfId="0" applyFont="1" applyFill="1" applyBorder="1" applyAlignment="1">
      <alignment horizontal="left" vertical="center"/>
    </xf>
    <xf numFmtId="0" fontId="1" fillId="16" borderId="0" xfId="0" applyFont="1" applyFill="1" applyAlignment="1">
      <alignment horizontal="left" vertical="center"/>
    </xf>
    <xf numFmtId="177" fontId="1" fillId="13" borderId="65" xfId="0" applyNumberFormat="1" applyFont="1" applyFill="1" applyBorder="1" applyAlignment="1" applyProtection="1">
      <alignment horizontal="left" vertical="center"/>
      <protection locked="0"/>
    </xf>
    <xf numFmtId="177" fontId="1" fillId="13" borderId="0" xfId="0" applyNumberFormat="1" applyFont="1" applyFill="1" applyAlignment="1" applyProtection="1">
      <alignment horizontal="left" vertical="center"/>
      <protection locked="0"/>
    </xf>
    <xf numFmtId="1" fontId="1" fillId="16" borderId="65" xfId="0" applyNumberFormat="1" applyFont="1" applyFill="1" applyBorder="1" applyAlignment="1" applyProtection="1">
      <alignment horizontal="left" vertical="center"/>
      <protection locked="0"/>
    </xf>
    <xf numFmtId="1" fontId="1" fillId="16" borderId="0" xfId="0" applyNumberFormat="1" applyFont="1" applyFill="1" applyAlignment="1" applyProtection="1">
      <alignment horizontal="left" vertical="center"/>
      <protection locked="0"/>
    </xf>
    <xf numFmtId="0" fontId="0" fillId="4" borderId="0" xfId="0" applyFill="1" applyAlignment="1">
      <alignment vertical="center"/>
    </xf>
    <xf numFmtId="165" fontId="0" fillId="14" borderId="65" xfId="0" applyNumberFormat="1" applyFill="1" applyBorder="1" applyAlignment="1">
      <alignment horizontal="center" vertical="center"/>
    </xf>
    <xf numFmtId="165" fontId="0" fillId="14" borderId="0" xfId="0" applyNumberFormat="1" applyFill="1" applyAlignment="1">
      <alignment horizontal="center" vertical="center"/>
    </xf>
    <xf numFmtId="0" fontId="0" fillId="14" borderId="0" xfId="0" applyFill="1" applyAlignment="1">
      <alignment horizontal="left" vertical="center"/>
    </xf>
    <xf numFmtId="0" fontId="1" fillId="4" borderId="0" xfId="0" applyFont="1" applyFill="1" applyAlignment="1">
      <alignment horizontal="right" vertical="center"/>
    </xf>
    <xf numFmtId="4" fontId="1" fillId="20" borderId="65" xfId="0" applyNumberFormat="1" applyFont="1" applyFill="1" applyBorder="1" applyAlignment="1" applyProtection="1">
      <alignment horizontal="center" vertical="center"/>
      <protection locked="0"/>
    </xf>
    <xf numFmtId="0" fontId="1" fillId="17" borderId="0" xfId="0" applyFont="1" applyFill="1" applyAlignment="1" applyProtection="1">
      <alignment horizontal="center" vertical="center"/>
      <protection locked="0"/>
    </xf>
    <xf numFmtId="165" fontId="0" fillId="14" borderId="80" xfId="0" applyNumberFormat="1" applyFill="1" applyBorder="1" applyAlignment="1">
      <alignment horizontal="center" vertical="center"/>
    </xf>
    <xf numFmtId="165" fontId="0" fillId="14" borderId="76" xfId="0" applyNumberFormat="1" applyFill="1" applyBorder="1" applyAlignment="1">
      <alignment horizontal="center" vertical="center"/>
    </xf>
    <xf numFmtId="0" fontId="1" fillId="4" borderId="65"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3" fontId="1" fillId="14" borderId="65" xfId="0" applyNumberFormat="1" applyFont="1" applyFill="1" applyBorder="1" applyAlignment="1" applyProtection="1">
      <alignment horizontal="center" vertical="center"/>
      <protection locked="0"/>
    </xf>
    <xf numFmtId="3" fontId="1" fillId="14" borderId="0" xfId="0" applyNumberFormat="1" applyFont="1" applyFill="1" applyAlignment="1" applyProtection="1">
      <alignment horizontal="center" vertical="center"/>
      <protection locked="0"/>
    </xf>
    <xf numFmtId="3" fontId="1" fillId="4" borderId="65" xfId="0" applyNumberFormat="1" applyFont="1" applyFill="1" applyBorder="1" applyAlignment="1" applyProtection="1">
      <alignment horizontal="center" vertical="center"/>
      <protection locked="0"/>
    </xf>
    <xf numFmtId="3" fontId="1" fillId="4" borderId="0" xfId="0" applyNumberFormat="1" applyFont="1" applyFill="1" applyAlignment="1" applyProtection="1">
      <alignment horizontal="center" vertical="center"/>
      <protection locked="0"/>
    </xf>
    <xf numFmtId="0" fontId="1" fillId="14" borderId="65" xfId="0" applyFont="1" applyFill="1" applyBorder="1" applyAlignment="1">
      <alignment horizontal="center" vertical="center"/>
    </xf>
    <xf numFmtId="0" fontId="1" fillId="14" borderId="0" xfId="0" applyFont="1" applyFill="1" applyAlignment="1">
      <alignment horizontal="center" vertical="center"/>
    </xf>
    <xf numFmtId="0" fontId="1" fillId="4" borderId="65" xfId="0" applyFont="1" applyFill="1" applyBorder="1" applyAlignment="1">
      <alignment horizontal="center" vertical="center"/>
    </xf>
    <xf numFmtId="0" fontId="1" fillId="4" borderId="0" xfId="0" applyFont="1" applyFill="1" applyAlignment="1">
      <alignment horizontal="center" vertical="center"/>
    </xf>
    <xf numFmtId="0" fontId="1" fillId="14" borderId="65" xfId="0" applyFont="1" applyFill="1" applyBorder="1" applyAlignment="1" applyProtection="1">
      <alignment horizontal="center" vertical="center"/>
      <protection locked="0"/>
    </xf>
    <xf numFmtId="165" fontId="1" fillId="4" borderId="79" xfId="0" applyNumberFormat="1" applyFont="1" applyFill="1" applyBorder="1" applyAlignment="1">
      <alignment horizontal="center" vertical="center"/>
    </xf>
    <xf numFmtId="165" fontId="0" fillId="4" borderId="0" xfId="0" applyNumberFormat="1" applyFill="1" applyAlignment="1" applyProtection="1">
      <alignment horizontal="center" vertical="center"/>
      <protection locked="0"/>
    </xf>
    <xf numFmtId="1" fontId="0" fillId="14" borderId="65" xfId="0" applyNumberFormat="1" applyFill="1" applyBorder="1" applyAlignment="1" applyProtection="1">
      <alignment horizontal="center" vertical="center"/>
      <protection locked="0"/>
    </xf>
    <xf numFmtId="1" fontId="0" fillId="14" borderId="18" xfId="0" applyNumberFormat="1" applyFill="1" applyBorder="1" applyAlignment="1" applyProtection="1">
      <alignment horizontal="center" vertical="center"/>
      <protection locked="0"/>
    </xf>
    <xf numFmtId="165" fontId="0" fillId="14" borderId="65" xfId="0" applyNumberFormat="1" applyFill="1" applyBorder="1" applyAlignment="1" applyProtection="1">
      <alignment horizontal="center" vertical="center"/>
      <protection locked="0"/>
    </xf>
    <xf numFmtId="165" fontId="0" fillId="14" borderId="0" xfId="0" applyNumberFormat="1" applyFill="1" applyAlignment="1" applyProtection="1">
      <alignment horizontal="center" vertical="center"/>
      <protection locked="0"/>
    </xf>
    <xf numFmtId="165" fontId="0" fillId="14" borderId="18" xfId="0" applyNumberFormat="1" applyFill="1" applyBorder="1" applyAlignment="1" applyProtection="1">
      <alignment horizontal="center" vertical="center"/>
      <protection locked="0"/>
    </xf>
    <xf numFmtId="165" fontId="0" fillId="4" borderId="65" xfId="0" applyNumberFormat="1" applyFill="1" applyBorder="1" applyAlignment="1" applyProtection="1">
      <alignment horizontal="center" vertical="center"/>
      <protection locked="0"/>
    </xf>
    <xf numFmtId="165" fontId="0" fillId="4" borderId="18" xfId="0" applyNumberFormat="1" applyFill="1" applyBorder="1" applyAlignment="1" applyProtection="1">
      <alignment horizontal="center" vertical="center"/>
      <protection locked="0"/>
    </xf>
    <xf numFmtId="165" fontId="0" fillId="4" borderId="65" xfId="0" applyNumberFormat="1" applyFill="1" applyBorder="1" applyAlignment="1">
      <alignment horizontal="center" vertical="center"/>
    </xf>
    <xf numFmtId="165" fontId="0" fillId="4" borderId="0" xfId="0" applyNumberFormat="1" applyFill="1" applyAlignment="1">
      <alignment horizontal="center" vertical="center"/>
    </xf>
    <xf numFmtId="165" fontId="0" fillId="4" borderId="18" xfId="0" applyNumberFormat="1" applyFill="1" applyBorder="1" applyAlignment="1">
      <alignment horizontal="center" vertical="center"/>
    </xf>
    <xf numFmtId="165" fontId="1" fillId="4" borderId="65" xfId="0" applyNumberFormat="1" applyFont="1" applyFill="1" applyBorder="1" applyAlignment="1" applyProtection="1">
      <alignment horizontal="center" vertical="center"/>
      <protection locked="0"/>
    </xf>
    <xf numFmtId="165" fontId="1" fillId="4" borderId="0" xfId="0" applyNumberFormat="1" applyFont="1" applyFill="1" applyAlignment="1" applyProtection="1">
      <alignment horizontal="center" vertical="center"/>
      <protection locked="0"/>
    </xf>
    <xf numFmtId="165" fontId="1" fillId="14" borderId="65" xfId="0" applyNumberFormat="1" applyFont="1" applyFill="1" applyBorder="1" applyAlignment="1" applyProtection="1">
      <alignment horizontal="center" vertical="center"/>
      <protection locked="0"/>
    </xf>
    <xf numFmtId="165" fontId="1" fillId="14" borderId="0" xfId="0" applyNumberFormat="1" applyFont="1" applyFill="1" applyAlignment="1" applyProtection="1">
      <alignment horizontal="center" vertical="center"/>
      <protection locked="0"/>
    </xf>
    <xf numFmtId="165" fontId="0" fillId="14" borderId="18" xfId="0" applyNumberFormat="1" applyFill="1" applyBorder="1" applyAlignment="1">
      <alignment horizontal="center" vertical="center"/>
    </xf>
    <xf numFmtId="0" fontId="1" fillId="16" borderId="0" xfId="0" applyFont="1" applyFill="1" applyAlignment="1" applyProtection="1">
      <alignment horizontal="left" vertical="center"/>
      <protection locked="0"/>
    </xf>
    <xf numFmtId="0" fontId="1" fillId="15" borderId="0" xfId="0" applyFont="1" applyFill="1" applyAlignment="1">
      <alignment horizontal="center" vertical="center"/>
    </xf>
    <xf numFmtId="0" fontId="1" fillId="15" borderId="0" xfId="0" applyFont="1" applyFill="1" applyAlignment="1">
      <alignment horizontal="center" vertical="top" wrapText="1"/>
    </xf>
    <xf numFmtId="0" fontId="1" fillId="8" borderId="0" xfId="0" applyFont="1" applyFill="1" applyAlignment="1">
      <alignment horizontal="center"/>
    </xf>
    <xf numFmtId="0" fontId="0" fillId="16" borderId="0" xfId="0" applyFill="1" applyAlignment="1">
      <alignment horizontal="left" vertical="center"/>
    </xf>
    <xf numFmtId="0" fontId="1" fillId="16" borderId="0" xfId="0" applyFont="1" applyFill="1" applyAlignment="1">
      <alignment horizontal="center" vertical="center"/>
    </xf>
    <xf numFmtId="0" fontId="1" fillId="13" borderId="0" xfId="0" applyFont="1" applyFill="1" applyAlignment="1">
      <alignment horizontal="left" vertical="center"/>
    </xf>
    <xf numFmtId="165" fontId="1" fillId="14" borderId="0" xfId="0" applyNumberFormat="1" applyFont="1" applyFill="1" applyAlignment="1">
      <alignment horizontal="center" vertical="center"/>
    </xf>
    <xf numFmtId="165" fontId="1" fillId="16" borderId="0" xfId="0" applyNumberFormat="1" applyFont="1" applyFill="1" applyAlignment="1">
      <alignment horizontal="center" vertical="center"/>
    </xf>
    <xf numFmtId="0" fontId="0" fillId="14" borderId="65" xfId="0" applyFill="1" applyBorder="1" applyAlignment="1">
      <alignment horizontal="center" vertical="center"/>
    </xf>
    <xf numFmtId="0" fontId="0" fillId="14" borderId="18" xfId="0" applyFill="1" applyBorder="1" applyAlignment="1">
      <alignment horizontal="center" vertical="center"/>
    </xf>
    <xf numFmtId="0" fontId="1" fillId="4" borderId="18" xfId="0" applyFont="1" applyFill="1" applyBorder="1" applyAlignment="1" applyProtection="1">
      <alignment horizontal="center" vertical="center"/>
      <protection locked="0"/>
    </xf>
    <xf numFmtId="0" fontId="1" fillId="14" borderId="18" xfId="0" applyFont="1" applyFill="1" applyBorder="1" applyAlignment="1" applyProtection="1">
      <alignment horizontal="center" vertical="center"/>
      <protection locked="0"/>
    </xf>
    <xf numFmtId="0" fontId="0" fillId="4" borderId="65" xfId="0" applyFill="1" applyBorder="1" applyAlignment="1">
      <alignment horizontal="center" vertical="center"/>
    </xf>
    <xf numFmtId="0" fontId="0" fillId="4" borderId="18" xfId="0" applyFill="1" applyBorder="1" applyAlignment="1">
      <alignment horizontal="center" vertical="center"/>
    </xf>
    <xf numFmtId="0" fontId="1" fillId="4" borderId="0" xfId="0" applyFont="1" applyFill="1" applyAlignment="1" applyProtection="1">
      <alignment horizontal="left" vertical="center"/>
      <protection locked="0"/>
    </xf>
    <xf numFmtId="9" fontId="1" fillId="14" borderId="0" xfId="0" applyNumberFormat="1" applyFont="1" applyFill="1" applyAlignment="1" applyProtection="1">
      <alignment horizontal="center" vertical="center"/>
      <protection locked="0"/>
    </xf>
    <xf numFmtId="9" fontId="1" fillId="14" borderId="65" xfId="0" applyNumberFormat="1" applyFont="1" applyFill="1" applyBorder="1" applyAlignment="1" applyProtection="1">
      <alignment horizontal="center" vertical="center"/>
      <protection locked="0"/>
    </xf>
    <xf numFmtId="0" fontId="0" fillId="14" borderId="0" xfId="0" applyFill="1" applyAlignment="1" applyProtection="1">
      <alignment horizontal="left" vertical="center"/>
      <protection locked="0"/>
    </xf>
    <xf numFmtId="0" fontId="0" fillId="4" borderId="0" xfId="0" applyFill="1" applyAlignment="1" applyProtection="1">
      <alignment horizontal="left" vertical="center"/>
      <protection locked="0"/>
    </xf>
    <xf numFmtId="1" fontId="0" fillId="4" borderId="65"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5" fontId="0" fillId="14" borderId="80" xfId="0" applyNumberFormat="1" applyFill="1" applyBorder="1" applyAlignment="1" applyProtection="1">
      <alignment horizontal="center" vertical="center"/>
      <protection locked="0"/>
    </xf>
    <xf numFmtId="165" fontId="0" fillId="14" borderId="76" xfId="0" applyNumberFormat="1" applyFill="1" applyBorder="1" applyAlignment="1" applyProtection="1">
      <alignment horizontal="center" vertical="center"/>
      <protection locked="0"/>
    </xf>
    <xf numFmtId="165" fontId="0" fillId="14" borderId="43" xfId="0" applyNumberFormat="1" applyFill="1" applyBorder="1" applyAlignment="1" applyProtection="1">
      <alignment horizontal="center" vertical="center"/>
      <protection locked="0"/>
    </xf>
    <xf numFmtId="1" fontId="1" fillId="14" borderId="0" xfId="0" applyNumberFormat="1" applyFont="1" applyFill="1" applyAlignment="1" applyProtection="1">
      <alignment horizontal="left" vertical="center"/>
      <protection locked="0"/>
    </xf>
    <xf numFmtId="3" fontId="1" fillId="4" borderId="0" xfId="0" applyNumberFormat="1" applyFont="1" applyFill="1" applyAlignment="1">
      <alignment horizontal="left" vertical="center"/>
    </xf>
    <xf numFmtId="3" fontId="1" fillId="14" borderId="0" xfId="0" applyNumberFormat="1" applyFont="1" applyFill="1" applyAlignment="1">
      <alignment horizontal="left" vertical="center"/>
    </xf>
    <xf numFmtId="9" fontId="1" fillId="14" borderId="0" xfId="0" applyNumberFormat="1" applyFont="1" applyFill="1" applyAlignment="1">
      <alignment horizontal="center" vertical="center"/>
    </xf>
    <xf numFmtId="2" fontId="1" fillId="14" borderId="0" xfId="0" applyNumberFormat="1" applyFont="1" applyFill="1" applyAlignment="1">
      <alignment horizontal="left" vertical="center"/>
    </xf>
    <xf numFmtId="1" fontId="1" fillId="4" borderId="0" xfId="0" applyNumberFormat="1" applyFont="1" applyFill="1" applyAlignment="1" applyProtection="1">
      <alignment horizontal="left" vertical="center"/>
      <protection locked="0"/>
    </xf>
    <xf numFmtId="0" fontId="0" fillId="16" borderId="0" xfId="0" applyFill="1" applyAlignment="1">
      <alignment horizontal="left" vertical="top" wrapText="1"/>
    </xf>
    <xf numFmtId="3" fontId="1" fillId="14" borderId="65" xfId="0" applyNumberFormat="1" applyFont="1" applyFill="1" applyBorder="1" applyAlignment="1">
      <alignment horizontal="left" vertical="center"/>
    </xf>
    <xf numFmtId="0" fontId="1" fillId="13" borderId="65" xfId="0" applyFont="1" applyFill="1" applyBorder="1" applyAlignment="1">
      <alignment horizontal="left" vertical="center"/>
    </xf>
    <xf numFmtId="0" fontId="1" fillId="14" borderId="65" xfId="0" applyFont="1" applyFill="1" applyBorder="1" applyAlignment="1">
      <alignment horizontal="left" vertical="center"/>
    </xf>
    <xf numFmtId="9" fontId="1" fillId="14" borderId="65" xfId="0" applyNumberFormat="1" applyFont="1" applyFill="1" applyBorder="1" applyAlignment="1">
      <alignment horizontal="left" vertical="center"/>
    </xf>
    <xf numFmtId="9" fontId="1" fillId="14" borderId="0" xfId="0" applyNumberFormat="1" applyFont="1" applyFill="1" applyAlignment="1">
      <alignment horizontal="left" vertical="center"/>
    </xf>
    <xf numFmtId="3" fontId="1" fillId="16" borderId="65" xfId="0" applyNumberFormat="1" applyFont="1" applyFill="1" applyBorder="1" applyAlignment="1" applyProtection="1">
      <alignment horizontal="left" vertical="center"/>
      <protection locked="0"/>
    </xf>
    <xf numFmtId="3" fontId="1" fillId="16" borderId="0" xfId="0" applyNumberFormat="1" applyFont="1" applyFill="1" applyAlignment="1" applyProtection="1">
      <alignment horizontal="left" vertical="center"/>
      <protection locked="0"/>
    </xf>
    <xf numFmtId="0" fontId="19" fillId="6" borderId="10" xfId="0" applyFont="1" applyFill="1" applyBorder="1" applyAlignment="1" applyProtection="1">
      <alignment horizontal="left" vertical="center" wrapText="1"/>
      <protection locked="0"/>
    </xf>
    <xf numFmtId="165" fontId="12" fillId="4" borderId="35" xfId="0" applyNumberFormat="1" applyFont="1" applyFill="1" applyBorder="1" applyAlignment="1">
      <alignment horizontal="center" vertical="center"/>
    </xf>
    <xf numFmtId="165" fontId="12" fillId="4" borderId="10" xfId="0" applyNumberFormat="1" applyFont="1" applyFill="1" applyBorder="1" applyAlignment="1">
      <alignment horizontal="center" vertical="center"/>
    </xf>
    <xf numFmtId="0" fontId="19" fillId="4" borderId="10" xfId="0" applyFont="1" applyFill="1" applyBorder="1" applyAlignment="1">
      <alignment horizontal="center" vertical="center"/>
    </xf>
    <xf numFmtId="0" fontId="19" fillId="4" borderId="19" xfId="0" applyFont="1" applyFill="1" applyBorder="1" applyAlignment="1">
      <alignment horizontal="center" vertical="center"/>
    </xf>
    <xf numFmtId="3" fontId="43" fillId="16" borderId="10" xfId="0" applyNumberFormat="1" applyFont="1" applyFill="1" applyBorder="1" applyAlignment="1" applyProtection="1">
      <alignment horizontal="center" vertical="center"/>
      <protection locked="0"/>
    </xf>
    <xf numFmtId="3" fontId="43" fillId="16" borderId="19" xfId="0" applyNumberFormat="1" applyFont="1" applyFill="1" applyBorder="1" applyAlignment="1" applyProtection="1">
      <alignment horizontal="center" vertical="center"/>
      <protection locked="0"/>
    </xf>
    <xf numFmtId="165" fontId="43" fillId="16" borderId="35" xfId="0" applyNumberFormat="1" applyFont="1" applyFill="1" applyBorder="1" applyAlignment="1" applyProtection="1">
      <alignment horizontal="center" vertical="center" wrapText="1"/>
      <protection locked="0"/>
    </xf>
    <xf numFmtId="165" fontId="43" fillId="16" borderId="10" xfId="0" applyNumberFormat="1" applyFont="1" applyFill="1" applyBorder="1" applyAlignment="1" applyProtection="1">
      <alignment horizontal="center" vertical="center" wrapText="1"/>
      <protection locked="0"/>
    </xf>
    <xf numFmtId="165" fontId="43" fillId="16" borderId="19"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wrapText="1"/>
      <protection locked="0"/>
    </xf>
    <xf numFmtId="9" fontId="6" fillId="16" borderId="3"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protection locked="0"/>
    </xf>
    <xf numFmtId="9" fontId="6" fillId="16" borderId="3" xfId="0" applyNumberFormat="1" applyFont="1" applyFill="1" applyBorder="1" applyAlignment="1" applyProtection="1">
      <alignment horizontal="center" vertical="center"/>
      <protection locked="0"/>
    </xf>
    <xf numFmtId="0" fontId="16" fillId="4" borderId="17" xfId="0" applyFont="1" applyFill="1" applyBorder="1" applyAlignment="1">
      <alignment horizontal="right" vertical="center" wrapText="1"/>
    </xf>
    <xf numFmtId="0" fontId="17" fillId="16" borderId="17" xfId="0" applyFont="1" applyFill="1" applyBorder="1" applyAlignment="1" applyProtection="1">
      <alignment horizontal="center" vertical="center"/>
      <protection locked="0"/>
    </xf>
    <xf numFmtId="165" fontId="16" fillId="4" borderId="2" xfId="0" applyNumberFormat="1" applyFont="1" applyFill="1" applyBorder="1" applyAlignment="1">
      <alignment horizontal="right" vertical="center"/>
    </xf>
    <xf numFmtId="165" fontId="16" fillId="4" borderId="17" xfId="0" applyNumberFormat="1" applyFont="1" applyFill="1" applyBorder="1" applyAlignment="1">
      <alignment horizontal="right" vertical="center"/>
    </xf>
    <xf numFmtId="165" fontId="17" fillId="16" borderId="17" xfId="0" applyNumberFormat="1" applyFont="1" applyFill="1" applyBorder="1" applyAlignment="1" applyProtection="1">
      <alignment horizontal="center" vertical="center"/>
      <protection locked="0"/>
    </xf>
    <xf numFmtId="165" fontId="17" fillId="16" borderId="3" xfId="0" applyNumberFormat="1" applyFont="1" applyFill="1" applyBorder="1" applyAlignment="1" applyProtection="1">
      <alignment horizontal="center" vertical="center"/>
      <protection locked="0"/>
    </xf>
    <xf numFmtId="165" fontId="16" fillId="4" borderId="17" xfId="0" applyNumberFormat="1" applyFont="1" applyFill="1" applyBorder="1" applyAlignment="1">
      <alignment horizontal="center" vertical="center"/>
    </xf>
    <xf numFmtId="0" fontId="17" fillId="16" borderId="22" xfId="0" applyFont="1" applyFill="1" applyBorder="1" applyAlignment="1" applyProtection="1">
      <alignment horizontal="center" vertical="center"/>
      <protection locked="0"/>
    </xf>
    <xf numFmtId="165" fontId="31" fillId="0" borderId="40" xfId="0" applyNumberFormat="1" applyFont="1" applyBorder="1" applyAlignment="1">
      <alignment horizontal="center" vertical="center"/>
    </xf>
    <xf numFmtId="165" fontId="31" fillId="0" borderId="41" xfId="0" applyNumberFormat="1" applyFont="1" applyBorder="1" applyAlignment="1">
      <alignment horizontal="center" vertical="center"/>
    </xf>
    <xf numFmtId="165" fontId="31" fillId="0" borderId="72" xfId="0" applyNumberFormat="1" applyFont="1" applyBorder="1" applyAlignment="1">
      <alignment horizontal="center" vertical="center"/>
    </xf>
    <xf numFmtId="165" fontId="31" fillId="0" borderId="73" xfId="0" applyNumberFormat="1" applyFont="1" applyBorder="1" applyAlignment="1">
      <alignment horizontal="center" vertical="center"/>
    </xf>
    <xf numFmtId="165" fontId="22" fillId="11" borderId="8" xfId="0" applyNumberFormat="1" applyFont="1" applyFill="1" applyBorder="1" applyAlignment="1">
      <alignment horizontal="center" vertical="center"/>
    </xf>
    <xf numFmtId="165" fontId="22" fillId="11" borderId="9" xfId="0" applyNumberFormat="1" applyFont="1" applyFill="1" applyBorder="1" applyAlignment="1">
      <alignment horizontal="center" vertical="center"/>
    </xf>
    <xf numFmtId="3" fontId="16" fillId="0" borderId="17" xfId="0" applyNumberFormat="1" applyFont="1" applyBorder="1" applyAlignment="1" applyProtection="1">
      <alignment horizontal="center" vertical="center"/>
      <protection locked="0"/>
    </xf>
    <xf numFmtId="0" fontId="26" fillId="4" borderId="20" xfId="4" applyFont="1" applyFill="1" applyBorder="1" applyAlignment="1" applyProtection="1">
      <alignment horizontal="center" vertical="center"/>
      <protection locked="0"/>
    </xf>
    <xf numFmtId="0" fontId="26" fillId="4" borderId="21" xfId="4" applyFont="1" applyFill="1" applyBorder="1" applyAlignment="1" applyProtection="1">
      <alignment horizontal="center" vertical="center"/>
      <protection locked="0"/>
    </xf>
    <xf numFmtId="0" fontId="22" fillId="0" borderId="29" xfId="0" applyFont="1" applyBorder="1" applyAlignment="1">
      <alignment horizontal="right" vertical="center"/>
    </xf>
    <xf numFmtId="0" fontId="22" fillId="0" borderId="31" xfId="0" applyFont="1" applyBorder="1" applyAlignment="1">
      <alignment horizontal="right" vertical="center"/>
    </xf>
    <xf numFmtId="165" fontId="1" fillId="0" borderId="3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2" fillId="0" borderId="25" xfId="0" applyFont="1" applyBorder="1" applyAlignment="1">
      <alignment horizontal="right" vertical="center"/>
    </xf>
    <xf numFmtId="0" fontId="22" fillId="0" borderId="1" xfId="0" applyFont="1" applyBorder="1" applyAlignment="1">
      <alignment horizontal="right"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2" fontId="1" fillId="0" borderId="31" xfId="0" applyNumberFormat="1" applyFont="1" applyBorder="1" applyAlignment="1">
      <alignment horizontal="center" vertical="center"/>
    </xf>
    <xf numFmtId="2" fontId="1" fillId="0" borderId="30" xfId="0" applyNumberFormat="1" applyFont="1" applyBorder="1" applyAlignment="1">
      <alignment horizontal="center" vertical="center"/>
    </xf>
    <xf numFmtId="0" fontId="22" fillId="0" borderId="28" xfId="0" applyFont="1" applyBorder="1" applyAlignment="1">
      <alignment horizontal="center"/>
    </xf>
    <xf numFmtId="0" fontId="8" fillId="12" borderId="33" xfId="0" applyFont="1" applyFill="1" applyBorder="1" applyAlignment="1">
      <alignment horizontal="center" wrapText="1"/>
    </xf>
    <xf numFmtId="0" fontId="8" fillId="12" borderId="38" xfId="0" applyFont="1" applyFill="1" applyBorder="1" applyAlignment="1">
      <alignment horizontal="center" wrapText="1"/>
    </xf>
    <xf numFmtId="3" fontId="16" fillId="0" borderId="45" xfId="0" applyNumberFormat="1" applyFont="1" applyBorder="1" applyAlignment="1" applyProtection="1">
      <alignment horizontal="center" vertical="center"/>
      <protection locked="0"/>
    </xf>
    <xf numFmtId="0" fontId="43" fillId="11" borderId="48" xfId="0" applyFont="1" applyFill="1" applyBorder="1" applyAlignment="1">
      <alignment horizontal="right" vertical="center" wrapText="1"/>
    </xf>
    <xf numFmtId="0" fontId="43" fillId="11" borderId="49" xfId="0" applyFont="1" applyFill="1" applyBorder="1" applyAlignment="1">
      <alignment horizontal="right" vertical="center" wrapText="1"/>
    </xf>
    <xf numFmtId="165" fontId="22" fillId="11" borderId="49" xfId="0" applyNumberFormat="1" applyFont="1" applyFill="1" applyBorder="1" applyAlignment="1">
      <alignment horizontal="center" vertical="center"/>
    </xf>
    <xf numFmtId="165" fontId="22" fillId="11" borderId="49" xfId="0" applyNumberFormat="1" applyFont="1" applyFill="1" applyBorder="1" applyAlignment="1">
      <alignment horizontal="center" vertical="center" wrapText="1"/>
    </xf>
    <xf numFmtId="165" fontId="22" fillId="11" borderId="50" xfId="0" applyNumberFormat="1" applyFont="1" applyFill="1" applyBorder="1" applyAlignment="1">
      <alignment horizontal="center" vertical="center" wrapText="1"/>
    </xf>
    <xf numFmtId="3" fontId="3" fillId="4" borderId="17" xfId="0" applyNumberFormat="1" applyFont="1" applyFill="1" applyBorder="1" applyAlignment="1">
      <alignment horizontal="center" vertical="center"/>
    </xf>
    <xf numFmtId="165" fontId="43" fillId="4" borderId="2" xfId="0" applyNumberFormat="1" applyFont="1" applyFill="1" applyBorder="1" applyAlignment="1">
      <alignment horizontal="center" vertical="center" wrapText="1"/>
    </xf>
    <xf numFmtId="165" fontId="43" fillId="4" borderId="17" xfId="0" applyNumberFormat="1" applyFont="1" applyFill="1" applyBorder="1" applyAlignment="1">
      <alignment horizontal="center" vertical="center" wrapText="1"/>
    </xf>
    <xf numFmtId="165" fontId="43" fillId="4" borderId="3" xfId="0" applyNumberFormat="1" applyFont="1" applyFill="1" applyBorder="1" applyAlignment="1">
      <alignment horizontal="center" vertical="center" wrapText="1"/>
    </xf>
    <xf numFmtId="165" fontId="43" fillId="4" borderId="35" xfId="0" applyNumberFormat="1" applyFont="1" applyFill="1" applyBorder="1" applyAlignment="1">
      <alignment horizontal="center" vertical="center" wrapText="1"/>
    </xf>
    <xf numFmtId="165" fontId="43" fillId="4" borderId="10" xfId="0" applyNumberFormat="1" applyFont="1" applyFill="1" applyBorder="1" applyAlignment="1">
      <alignment horizontal="center" vertical="center" wrapText="1"/>
    </xf>
    <xf numFmtId="165" fontId="43" fillId="4" borderId="19" xfId="0" applyNumberFormat="1" applyFont="1" applyFill="1" applyBorder="1" applyAlignment="1">
      <alignment horizontal="center" vertical="center" wrapText="1"/>
    </xf>
    <xf numFmtId="165" fontId="43" fillId="4" borderId="15" xfId="0" applyNumberFormat="1" applyFont="1" applyFill="1" applyBorder="1" applyAlignment="1">
      <alignment horizontal="center" vertical="center" wrapText="1"/>
    </xf>
    <xf numFmtId="3" fontId="43" fillId="16" borderId="17" xfId="0" applyNumberFormat="1" applyFont="1" applyFill="1" applyBorder="1" applyAlignment="1" applyProtection="1">
      <alignment horizontal="center" vertical="center"/>
      <protection locked="0"/>
    </xf>
    <xf numFmtId="3" fontId="43" fillId="16" borderId="3" xfId="0" applyNumberFormat="1" applyFont="1" applyFill="1" applyBorder="1" applyAlignment="1" applyProtection="1">
      <alignment horizontal="center" vertical="center"/>
      <protection locked="0"/>
    </xf>
    <xf numFmtId="165" fontId="43" fillId="16" borderId="2" xfId="0" applyNumberFormat="1" applyFont="1" applyFill="1" applyBorder="1" applyAlignment="1" applyProtection="1">
      <alignment horizontal="center" vertical="center" wrapText="1"/>
      <protection locked="0"/>
    </xf>
    <xf numFmtId="165" fontId="43" fillId="16" borderId="17" xfId="0" applyNumberFormat="1" applyFont="1" applyFill="1" applyBorder="1" applyAlignment="1" applyProtection="1">
      <alignment horizontal="center" vertical="center" wrapText="1"/>
      <protection locked="0"/>
    </xf>
    <xf numFmtId="165" fontId="43" fillId="16" borderId="3" xfId="0" applyNumberFormat="1" applyFont="1" applyFill="1" applyBorder="1" applyAlignment="1" applyProtection="1">
      <alignment horizontal="center" vertical="center" wrapText="1"/>
      <protection locked="0"/>
    </xf>
    <xf numFmtId="0" fontId="17" fillId="16" borderId="3" xfId="0" applyFont="1" applyFill="1" applyBorder="1" applyAlignment="1" applyProtection="1">
      <alignment horizontal="center" vertical="center"/>
      <protection locked="0"/>
    </xf>
    <xf numFmtId="0" fontId="16" fillId="4" borderId="2" xfId="0" applyFont="1" applyFill="1" applyBorder="1" applyAlignment="1">
      <alignment horizontal="right" vertical="center"/>
    </xf>
    <xf numFmtId="0" fontId="16" fillId="4" borderId="17" xfId="0" applyFont="1" applyFill="1" applyBorder="1" applyAlignment="1">
      <alignment horizontal="right" vertical="center"/>
    </xf>
    <xf numFmtId="165" fontId="43" fillId="4" borderId="22" xfId="0" applyNumberFormat="1" applyFont="1" applyFill="1" applyBorder="1" applyAlignment="1">
      <alignment horizontal="center" vertical="center" wrapText="1"/>
    </xf>
    <xf numFmtId="165" fontId="17" fillId="16" borderId="22" xfId="0" applyNumberFormat="1" applyFont="1" applyFill="1" applyBorder="1" applyAlignment="1" applyProtection="1">
      <alignment horizontal="center" vertical="center"/>
      <protection locked="0"/>
    </xf>
    <xf numFmtId="0" fontId="8" fillId="12" borderId="25" xfId="0" applyFont="1" applyFill="1" applyBorder="1" applyAlignment="1">
      <alignment horizontal="center" wrapText="1"/>
    </xf>
    <xf numFmtId="0" fontId="8" fillId="12" borderId="1" xfId="0" applyFont="1" applyFill="1" applyBorder="1" applyAlignment="1">
      <alignment horizontal="center" wrapText="1"/>
    </xf>
    <xf numFmtId="0" fontId="8" fillId="12" borderId="1" xfId="0" applyFont="1" applyFill="1" applyBorder="1" applyAlignment="1">
      <alignment horizontal="center"/>
    </xf>
    <xf numFmtId="0" fontId="8" fillId="12" borderId="26" xfId="0" applyFont="1" applyFill="1" applyBorder="1" applyAlignment="1">
      <alignment horizontal="center" wrapText="1"/>
    </xf>
    <xf numFmtId="14" fontId="1" fillId="4" borderId="10" xfId="0" applyNumberFormat="1" applyFont="1" applyFill="1" applyBorder="1" applyAlignment="1" applyProtection="1">
      <alignment horizontal="center"/>
      <protection locked="0"/>
    </xf>
    <xf numFmtId="0" fontId="41" fillId="0" borderId="0" xfId="0" applyFont="1"/>
    <xf numFmtId="0" fontId="10" fillId="3" borderId="77" xfId="0" applyFont="1" applyFill="1" applyBorder="1" applyAlignment="1">
      <alignment horizontal="left"/>
    </xf>
    <xf numFmtId="0" fontId="10" fillId="3" borderId="10" xfId="0" applyFont="1" applyFill="1" applyBorder="1" applyAlignment="1">
      <alignment horizontal="left"/>
    </xf>
    <xf numFmtId="0" fontId="10" fillId="3" borderId="78" xfId="0" applyFont="1" applyFill="1" applyBorder="1" applyAlignment="1">
      <alignment horizontal="left"/>
    </xf>
    <xf numFmtId="0" fontId="3" fillId="0" borderId="0" xfId="0" applyFont="1" applyAlignment="1">
      <alignment horizontal="left" wrapText="1"/>
    </xf>
    <xf numFmtId="0" fontId="0" fillId="4" borderId="35"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0" xfId="0" applyFont="1" applyFill="1" applyAlignment="1">
      <alignment horizontal="center"/>
    </xf>
    <xf numFmtId="0" fontId="1" fillId="4" borderId="10"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0" fillId="4" borderId="10" xfId="0" applyFill="1" applyBorder="1" applyAlignment="1">
      <alignment horizontal="right" vertical="center" wrapText="1"/>
    </xf>
    <xf numFmtId="0" fontId="1" fillId="4" borderId="10" xfId="0" applyFont="1" applyFill="1" applyBorder="1" applyAlignment="1">
      <alignment horizontal="center" vertical="center"/>
    </xf>
    <xf numFmtId="0" fontId="1" fillId="4" borderId="19"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 xfId="0" applyFont="1" applyBorder="1" applyAlignment="1">
      <alignment horizontal="left" vertical="center" wrapText="1"/>
    </xf>
    <xf numFmtId="0" fontId="0" fillId="4" borderId="2" xfId="0" applyFill="1" applyBorder="1" applyAlignment="1">
      <alignment horizontal="left" vertical="center"/>
    </xf>
    <xf numFmtId="0" fontId="0" fillId="4" borderId="17" xfId="0" applyFill="1" applyBorder="1" applyAlignment="1">
      <alignment horizontal="left" vertical="center"/>
    </xf>
    <xf numFmtId="0" fontId="0" fillId="4" borderId="17"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0" fillId="4" borderId="2" xfId="0" applyFill="1" applyBorder="1" applyAlignment="1">
      <alignment horizontal="right" vertical="center" wrapText="1"/>
    </xf>
    <xf numFmtId="0" fontId="0" fillId="4" borderId="17" xfId="0" applyFill="1" applyBorder="1" applyAlignment="1">
      <alignment horizontal="right" vertical="center" wrapText="1"/>
    </xf>
    <xf numFmtId="14" fontId="0" fillId="4" borderId="17" xfId="0" applyNumberFormat="1" applyFill="1" applyBorder="1" applyAlignment="1" applyProtection="1">
      <alignment horizontal="center" vertical="center"/>
      <protection locked="0"/>
    </xf>
    <xf numFmtId="14" fontId="0" fillId="4" borderId="3" xfId="0" applyNumberFormat="1" applyFill="1" applyBorder="1" applyAlignment="1" applyProtection="1">
      <alignment horizontal="center" vertical="center"/>
      <protection locked="0"/>
    </xf>
    <xf numFmtId="0" fontId="0" fillId="4" borderId="17"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7" xfId="0" applyFill="1" applyBorder="1" applyAlignment="1">
      <alignment horizontal="left" vertical="top" wrapText="1"/>
    </xf>
    <xf numFmtId="0" fontId="0" fillId="4" borderId="4" xfId="0" applyFill="1" applyBorder="1" applyAlignment="1">
      <alignment horizontal="left" vertical="top" wrapText="1"/>
    </xf>
    <xf numFmtId="0" fontId="0" fillId="4" borderId="65"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0" xfId="0" applyFill="1" applyBorder="1" applyAlignment="1">
      <alignment horizontal="left" vertical="top" wrapText="1"/>
    </xf>
    <xf numFmtId="0" fontId="0" fillId="4" borderId="4"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10" fillId="3" borderId="74" xfId="0" applyFont="1" applyFill="1" applyBorder="1" applyAlignment="1">
      <alignment horizontal="left"/>
    </xf>
    <xf numFmtId="0" fontId="10" fillId="3" borderId="0" xfId="0" applyFont="1" applyFill="1" applyAlignment="1">
      <alignment horizontal="left"/>
    </xf>
    <xf numFmtId="0" fontId="10" fillId="3" borderId="75" xfId="0" applyFont="1" applyFill="1" applyBorder="1" applyAlignment="1">
      <alignment horizontal="left"/>
    </xf>
    <xf numFmtId="0" fontId="0" fillId="0" borderId="4" xfId="0" applyBorder="1" applyAlignment="1">
      <alignment horizontal="center" vertical="top" wrapText="1"/>
    </xf>
    <xf numFmtId="0" fontId="0" fillId="0" borderId="2" xfId="0" applyBorder="1" applyAlignment="1">
      <alignment horizontal="center" vertical="center"/>
    </xf>
    <xf numFmtId="0" fontId="0" fillId="0" borderId="17" xfId="0" applyBorder="1" applyAlignment="1">
      <alignment horizontal="center" vertical="center"/>
    </xf>
    <xf numFmtId="0" fontId="31" fillId="0" borderId="17" xfId="0" applyFont="1" applyBorder="1" applyAlignment="1">
      <alignment horizontal="left" vertical="center"/>
    </xf>
    <xf numFmtId="0" fontId="31" fillId="0" borderId="3" xfId="0" applyFont="1" applyBorder="1" applyAlignment="1">
      <alignment horizontal="left" vertical="center"/>
    </xf>
    <xf numFmtId="0" fontId="0" fillId="0" borderId="4" xfId="0" applyBorder="1" applyAlignment="1">
      <alignment horizontal="center" vertical="center"/>
    </xf>
    <xf numFmtId="0" fontId="1" fillId="4" borderId="17"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0" fillId="4" borderId="2" xfId="0" applyFill="1" applyBorder="1" applyAlignment="1">
      <alignment horizontal="right" vertical="center"/>
    </xf>
    <xf numFmtId="0" fontId="0" fillId="4" borderId="17" xfId="0" applyFill="1" applyBorder="1" applyAlignment="1">
      <alignment horizontal="right" vertical="center"/>
    </xf>
    <xf numFmtId="0" fontId="0" fillId="4" borderId="2" xfId="0" applyFill="1" applyBorder="1" applyAlignment="1">
      <alignment horizontal="center" vertical="center"/>
    </xf>
    <xf numFmtId="0" fontId="0" fillId="4" borderId="17" xfId="0"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0" fillId="5" borderId="2" xfId="0" applyFill="1" applyBorder="1" applyAlignment="1">
      <alignment horizontal="center"/>
    </xf>
    <xf numFmtId="0" fontId="0" fillId="5" borderId="17" xfId="0" applyFill="1" applyBorder="1" applyAlignment="1">
      <alignment horizontal="center"/>
    </xf>
    <xf numFmtId="0" fontId="0" fillId="5" borderId="3" xfId="0" applyFill="1" applyBorder="1" applyAlignment="1">
      <alignment horizontal="center"/>
    </xf>
    <xf numFmtId="0" fontId="3" fillId="0" borderId="139" xfId="0" applyFont="1" applyBorder="1" applyAlignment="1">
      <alignment horizontal="left"/>
    </xf>
    <xf numFmtId="0" fontId="12" fillId="4" borderId="0" xfId="0" applyFont="1" applyFill="1" applyAlignment="1">
      <alignment horizontal="left" vertical="center" wrapText="1"/>
    </xf>
    <xf numFmtId="0" fontId="3" fillId="0" borderId="0" xfId="0" applyFont="1" applyAlignment="1">
      <alignment horizontal="left" vertical="center" wrapText="1"/>
    </xf>
    <xf numFmtId="0" fontId="69"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right"/>
    </xf>
    <xf numFmtId="0" fontId="95" fillId="4" borderId="0" xfId="0" applyFont="1" applyFill="1" applyAlignment="1">
      <alignment horizontal="left" vertical="top" wrapText="1"/>
    </xf>
    <xf numFmtId="0" fontId="4" fillId="4" borderId="0" xfId="0" applyFont="1" applyFill="1" applyAlignment="1">
      <alignment horizontal="left" vertical="center"/>
    </xf>
    <xf numFmtId="0" fontId="62" fillId="4" borderId="0" xfId="0" applyFont="1" applyFill="1" applyAlignment="1">
      <alignment horizontal="left" vertical="center"/>
    </xf>
    <xf numFmtId="0" fontId="16" fillId="0" borderId="0" xfId="0" applyFont="1" applyAlignment="1">
      <alignment horizontal="center" vertical="center"/>
    </xf>
    <xf numFmtId="0" fontId="63" fillId="0" borderId="17" xfId="0" applyFont="1" applyBorder="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65"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4" xfId="0" applyFont="1" applyBorder="1" applyAlignment="1">
      <alignment vertical="center"/>
    </xf>
    <xf numFmtId="0" fontId="3" fillId="0" borderId="36" xfId="0" applyFont="1" applyBorder="1" applyAlignment="1">
      <alignment vertical="center"/>
    </xf>
    <xf numFmtId="0" fontId="3" fillId="0" borderId="65" xfId="0" applyFont="1" applyBorder="1" applyAlignment="1">
      <alignment vertical="center"/>
    </xf>
    <xf numFmtId="0" fontId="3" fillId="0" borderId="10" xfId="0" applyFont="1" applyBorder="1" applyAlignment="1">
      <alignment vertical="center"/>
    </xf>
    <xf numFmtId="0" fontId="3" fillId="0" borderId="10"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35" xfId="0" applyFont="1" applyBorder="1" applyAlignment="1">
      <alignment vertical="center"/>
    </xf>
    <xf numFmtId="0" fontId="8" fillId="2" borderId="37" xfId="0" applyFont="1" applyFill="1" applyBorder="1" applyAlignment="1">
      <alignment vertical="center"/>
    </xf>
    <xf numFmtId="0" fontId="8" fillId="2" borderId="4"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69" fillId="0" borderId="0" xfId="0" applyFont="1" applyAlignment="1">
      <alignment horizontal="left" vertical="center" wrapText="1"/>
    </xf>
    <xf numFmtId="0" fontId="16" fillId="4" borderId="35"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10" xfId="0" applyFont="1" applyFill="1" applyBorder="1" applyAlignment="1">
      <alignment horizontal="right" vertical="center" wrapText="1"/>
    </xf>
    <xf numFmtId="0" fontId="16" fillId="4" borderId="10" xfId="0" applyFont="1" applyFill="1" applyBorder="1" applyAlignment="1">
      <alignment horizontal="center" vertical="center" wrapText="1"/>
    </xf>
    <xf numFmtId="0" fontId="74" fillId="4" borderId="2" xfId="0" applyFont="1" applyFill="1" applyBorder="1" applyAlignment="1">
      <alignment horizontal="right" vertical="center"/>
    </xf>
    <xf numFmtId="0" fontId="74" fillId="4" borderId="17" xfId="0" applyFont="1" applyFill="1" applyBorder="1" applyAlignment="1">
      <alignment horizontal="right" vertical="center"/>
    </xf>
    <xf numFmtId="0" fontId="3" fillId="4" borderId="10"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10" fillId="3" borderId="0" xfId="0" applyFont="1" applyFill="1" applyAlignment="1">
      <alignment vertical="center"/>
    </xf>
    <xf numFmtId="0" fontId="1" fillId="4" borderId="0" xfId="0" applyFont="1" applyFill="1" applyAlignment="1">
      <alignment horizontal="left" vertical="center" wrapText="1"/>
    </xf>
    <xf numFmtId="0" fontId="63" fillId="0" borderId="4" xfId="0" applyFont="1" applyBorder="1" applyAlignment="1">
      <alignment horizontal="center" vertical="center" wrapText="1"/>
    </xf>
    <xf numFmtId="0" fontId="8" fillId="2" borderId="36" xfId="0" applyFont="1" applyFill="1" applyBorder="1" applyAlignment="1">
      <alignment vertical="center"/>
    </xf>
    <xf numFmtId="0" fontId="73" fillId="4" borderId="0" xfId="0" applyFont="1" applyFill="1" applyAlignment="1">
      <alignment horizontal="left"/>
    </xf>
    <xf numFmtId="0" fontId="73" fillId="4" borderId="17" xfId="0" applyFont="1" applyFill="1" applyBorder="1" applyAlignment="1" applyProtection="1">
      <alignment horizontal="left" vertical="center"/>
      <protection locked="0"/>
    </xf>
    <xf numFmtId="0" fontId="73" fillId="4" borderId="0" xfId="0" applyFont="1" applyFill="1" applyAlignment="1">
      <alignment horizontal="right"/>
    </xf>
    <xf numFmtId="14" fontId="73" fillId="4" borderId="17" xfId="0" applyNumberFormat="1" applyFont="1" applyFill="1" applyBorder="1" applyAlignment="1" applyProtection="1">
      <alignment horizontal="left" vertical="center"/>
      <protection locked="0"/>
    </xf>
    <xf numFmtId="0" fontId="3" fillId="4" borderId="0" xfId="0" applyFont="1" applyFill="1" applyAlignment="1">
      <alignment horizontal="left" vertical="center" wrapText="1" indent="2"/>
    </xf>
    <xf numFmtId="0" fontId="10" fillId="3" borderId="2" xfId="0" applyFont="1" applyFill="1" applyBorder="1" applyAlignment="1">
      <alignment vertical="center"/>
    </xf>
    <xf numFmtId="0" fontId="10" fillId="3" borderId="17" xfId="0" applyFont="1" applyFill="1" applyBorder="1" applyAlignment="1">
      <alignment vertical="center"/>
    </xf>
    <xf numFmtId="0" fontId="10" fillId="3" borderId="3" xfId="0" applyFont="1" applyFill="1" applyBorder="1" applyAlignment="1">
      <alignment vertical="center"/>
    </xf>
    <xf numFmtId="0" fontId="73" fillId="4" borderId="0" xfId="0" applyFont="1" applyFill="1" applyAlignment="1">
      <alignment horizontal="center"/>
    </xf>
    <xf numFmtId="0" fontId="3" fillId="4" borderId="65"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7" xfId="0" applyFont="1" applyFill="1" applyBorder="1" applyAlignment="1">
      <alignment horizontal="center" vertical="center"/>
    </xf>
    <xf numFmtId="0" fontId="3" fillId="4" borderId="0" xfId="0" applyFont="1" applyFill="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0" fillId="4" borderId="35" xfId="0" applyFill="1" applyBorder="1" applyAlignment="1">
      <alignment horizontal="center"/>
    </xf>
    <xf numFmtId="0" fontId="0" fillId="4" borderId="10" xfId="0" applyFill="1" applyBorder="1" applyAlignment="1">
      <alignment horizontal="center"/>
    </xf>
    <xf numFmtId="0" fontId="0" fillId="4" borderId="19" xfId="0" applyFill="1" applyBorder="1" applyAlignment="1">
      <alignment horizontal="center"/>
    </xf>
    <xf numFmtId="0" fontId="0" fillId="4" borderId="37" xfId="0" applyFill="1" applyBorder="1" applyAlignment="1">
      <alignment horizontal="center"/>
    </xf>
    <xf numFmtId="0" fontId="0" fillId="4" borderId="4" xfId="0" applyFill="1" applyBorder="1" applyAlignment="1">
      <alignment horizontal="center"/>
    </xf>
    <xf numFmtId="0" fontId="0" fillId="4" borderId="36" xfId="0" applyFill="1" applyBorder="1" applyAlignment="1">
      <alignment horizontal="center"/>
    </xf>
    <xf numFmtId="0" fontId="47" fillId="4" borderId="2" xfId="0" applyFont="1" applyFill="1" applyBorder="1" applyAlignment="1" applyProtection="1">
      <alignment horizontal="center" vertical="center"/>
      <protection locked="0"/>
    </xf>
    <xf numFmtId="0" fontId="47" fillId="4" borderId="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3" fillId="4" borderId="65" xfId="0" applyFont="1" applyFill="1" applyBorder="1" applyAlignment="1">
      <alignment horizontal="right" vertical="center"/>
    </xf>
    <xf numFmtId="0" fontId="3" fillId="4" borderId="65" xfId="0" applyFont="1" applyFill="1" applyBorder="1" applyAlignment="1">
      <alignment horizontal="center" vertical="center"/>
    </xf>
    <xf numFmtId="0" fontId="10" fillId="3" borderId="37" xfId="0" applyFont="1" applyFill="1" applyBorder="1" applyAlignment="1">
      <alignment vertical="center"/>
    </xf>
    <xf numFmtId="0" fontId="10" fillId="3" borderId="4" xfId="0" applyFont="1" applyFill="1" applyBorder="1" applyAlignment="1">
      <alignment vertical="center"/>
    </xf>
    <xf numFmtId="0" fontId="10" fillId="3" borderId="36" xfId="0" applyFont="1" applyFill="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64" fillId="0" borderId="2" xfId="0" applyFont="1" applyBorder="1" applyAlignment="1">
      <alignment vertical="center" wrapText="1"/>
    </xf>
    <xf numFmtId="0" fontId="64" fillId="0" borderId="17" xfId="0" applyFont="1" applyBorder="1" applyAlignment="1">
      <alignment vertical="center" wrapText="1"/>
    </xf>
    <xf numFmtId="0" fontId="64" fillId="0" borderId="3" xfId="0" applyFont="1" applyBorder="1" applyAlignment="1">
      <alignment vertical="center" wrapText="1"/>
    </xf>
    <xf numFmtId="0" fontId="8" fillId="2" borderId="4" xfId="0" applyFont="1" applyFill="1" applyBorder="1"/>
    <xf numFmtId="0" fontId="8" fillId="2" borderId="36" xfId="0" applyFont="1" applyFill="1" applyBorder="1"/>
    <xf numFmtId="0" fontId="8" fillId="2" borderId="65" xfId="0" applyFont="1" applyFill="1" applyBorder="1" applyAlignment="1">
      <alignment vertical="center"/>
    </xf>
    <xf numFmtId="0" fontId="8" fillId="2" borderId="0" xfId="0" applyFont="1" applyFill="1" applyAlignment="1">
      <alignment vertical="center"/>
    </xf>
    <xf numFmtId="0" fontId="8" fillId="2" borderId="0" xfId="0" applyFont="1" applyFill="1"/>
    <xf numFmtId="0" fontId="8" fillId="2" borderId="18" xfId="0" applyFont="1" applyFill="1" applyBorder="1"/>
    <xf numFmtId="0" fontId="3" fillId="0" borderId="65" xfId="0" applyFont="1" applyBorder="1" applyAlignment="1">
      <alignment horizontal="left" wrapText="1" indent="2"/>
    </xf>
    <xf numFmtId="0" fontId="3" fillId="0" borderId="0" xfId="0" applyFont="1" applyAlignment="1">
      <alignment horizontal="left" wrapText="1" indent="2"/>
    </xf>
    <xf numFmtId="0" fontId="3" fillId="0" borderId="18" xfId="0" applyFont="1" applyBorder="1" applyAlignment="1">
      <alignment horizontal="left" wrapText="1" indent="2"/>
    </xf>
    <xf numFmtId="0" fontId="3" fillId="0" borderId="35" xfId="0" applyFont="1" applyBorder="1" applyAlignment="1">
      <alignment horizontal="left" wrapText="1" indent="2"/>
    </xf>
    <xf numFmtId="0" fontId="3" fillId="0" borderId="10" xfId="0" applyFont="1" applyBorder="1" applyAlignment="1">
      <alignment horizontal="left" wrapText="1" indent="2"/>
    </xf>
    <xf numFmtId="0" fontId="3" fillId="0" borderId="19" xfId="0" applyFont="1" applyBorder="1" applyAlignment="1">
      <alignment horizontal="left" wrapText="1" indent="2"/>
    </xf>
    <xf numFmtId="0" fontId="72" fillId="0" borderId="0" xfId="0" applyFont="1" applyAlignment="1">
      <alignment horizontal="left" vertical="center" wrapText="1"/>
    </xf>
    <xf numFmtId="0" fontId="16" fillId="4" borderId="10" xfId="0" applyFont="1" applyFill="1" applyBorder="1" applyAlignment="1" applyProtection="1">
      <alignment horizontal="left" vertical="center"/>
      <protection locked="0"/>
    </xf>
    <xf numFmtId="14" fontId="16" fillId="4" borderId="10" xfId="0" applyNumberFormat="1" applyFont="1" applyFill="1" applyBorder="1" applyAlignment="1" applyProtection="1">
      <alignment horizontal="left" vertical="center"/>
      <protection locked="0"/>
    </xf>
    <xf numFmtId="0" fontId="0" fillId="0" borderId="4" xfId="0" applyBorder="1" applyAlignment="1">
      <alignment horizontal="center"/>
    </xf>
    <xf numFmtId="0" fontId="3" fillId="0" borderId="2" xfId="0" applyFont="1" applyBorder="1" applyAlignment="1">
      <alignment horizontal="left" wrapText="1" indent="2"/>
    </xf>
    <xf numFmtId="0" fontId="3" fillId="0" borderId="17" xfId="0" applyFont="1" applyBorder="1" applyAlignment="1">
      <alignment horizontal="left" wrapText="1" indent="2"/>
    </xf>
    <xf numFmtId="0" fontId="3" fillId="0" borderId="3" xfId="0" applyFont="1" applyBorder="1" applyAlignment="1">
      <alignment horizontal="left" wrapText="1" indent="2"/>
    </xf>
    <xf numFmtId="0" fontId="3" fillId="0" borderId="10" xfId="0" applyFont="1" applyBorder="1" applyAlignment="1">
      <alignment horizontal="left" wrapText="1"/>
    </xf>
    <xf numFmtId="0" fontId="3" fillId="0" borderId="19" xfId="0" applyFont="1" applyBorder="1" applyAlignment="1">
      <alignment horizontal="left" wrapText="1"/>
    </xf>
    <xf numFmtId="0" fontId="3" fillId="0" borderId="37"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65" xfId="0" applyFont="1" applyBorder="1" applyAlignment="1">
      <alignment horizontal="left" vertical="center" wrapText="1" indent="2"/>
    </xf>
    <xf numFmtId="0" fontId="3" fillId="0" borderId="0" xfId="0" applyFont="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19" xfId="0" applyFont="1" applyBorder="1" applyAlignment="1">
      <alignment vertical="center"/>
    </xf>
    <xf numFmtId="0" fontId="65" fillId="0" borderId="65" xfId="0" applyFont="1" applyBorder="1" applyAlignment="1">
      <alignment horizontal="left" vertical="center" wrapText="1" indent="1"/>
    </xf>
    <xf numFmtId="0" fontId="65" fillId="0" borderId="0" xfId="0" applyFont="1" applyAlignment="1">
      <alignment horizontal="left" vertical="center" wrapText="1" indent="1"/>
    </xf>
    <xf numFmtId="0" fontId="65" fillId="0" borderId="18" xfId="0" applyFont="1" applyBorder="1" applyAlignment="1">
      <alignment horizontal="left" vertical="center" wrapText="1" indent="1"/>
    </xf>
    <xf numFmtId="0" fontId="0" fillId="4" borderId="18" xfId="0" applyFill="1" applyBorder="1" applyAlignment="1">
      <alignment horizontal="center"/>
    </xf>
    <xf numFmtId="0" fontId="3" fillId="0" borderId="0" xfId="0" applyFont="1" applyAlignment="1">
      <alignment vertical="center"/>
    </xf>
    <xf numFmtId="0" fontId="3" fillId="0" borderId="18" xfId="0" applyFont="1" applyBorder="1" applyAlignment="1">
      <alignment vertical="center"/>
    </xf>
    <xf numFmtId="0" fontId="3" fillId="0" borderId="4"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63" fillId="0" borderId="37" xfId="0" applyFont="1" applyBorder="1" applyAlignment="1">
      <alignment horizontal="left" vertical="center" wrapText="1" indent="2"/>
    </xf>
    <xf numFmtId="0" fontId="63" fillId="0" borderId="4" xfId="0" applyFont="1" applyBorder="1" applyAlignment="1">
      <alignment horizontal="left" vertical="center" wrapText="1" indent="2"/>
    </xf>
    <xf numFmtId="0" fontId="63" fillId="0" borderId="36" xfId="0" applyFont="1" applyBorder="1" applyAlignment="1">
      <alignment horizontal="left" vertical="center" wrapText="1" indent="2"/>
    </xf>
    <xf numFmtId="0" fontId="63" fillId="0" borderId="35" xfId="0" applyFont="1" applyBorder="1" applyAlignment="1">
      <alignment horizontal="left" vertical="center" wrapText="1" indent="2"/>
    </xf>
    <xf numFmtId="0" fontId="63" fillId="0" borderId="10" xfId="0" applyFont="1" applyBorder="1" applyAlignment="1">
      <alignment horizontal="left" vertical="center" wrapText="1" indent="2"/>
    </xf>
    <xf numFmtId="0" fontId="63" fillId="0" borderId="19" xfId="0" applyFont="1" applyBorder="1" applyAlignment="1">
      <alignment horizontal="left" vertical="center" wrapText="1" indent="2"/>
    </xf>
    <xf numFmtId="0" fontId="3" fillId="0" borderId="2" xfId="0" applyFont="1" applyBorder="1" applyAlignment="1">
      <alignment horizontal="right" vertical="center"/>
    </xf>
    <xf numFmtId="0" fontId="3" fillId="0" borderId="17"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21" borderId="1" xfId="0" applyFont="1" applyFill="1" applyBorder="1" applyAlignment="1" applyProtection="1">
      <alignment horizontal="center" vertical="center"/>
      <protection locked="0"/>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lignment wrapText="1"/>
    </xf>
    <xf numFmtId="0" fontId="3" fillId="0" borderId="1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16" fillId="4" borderId="10" xfId="0" applyNumberFormat="1" applyFont="1" applyFill="1" applyBorder="1" applyAlignment="1" applyProtection="1">
      <alignment horizontal="center" vertical="center" wrapText="1"/>
      <protection locked="0"/>
    </xf>
    <xf numFmtId="14" fontId="16" fillId="4" borderId="19" xfId="0" applyNumberFormat="1" applyFont="1" applyFill="1" applyBorder="1" applyAlignment="1" applyProtection="1">
      <alignment horizontal="center" vertical="center" wrapText="1"/>
      <protection locked="0"/>
    </xf>
    <xf numFmtId="0" fontId="16" fillId="4" borderId="1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3" fillId="0" borderId="17" xfId="0" applyFont="1" applyBorder="1" applyAlignment="1">
      <alignment horizontal="left" vertical="center" wrapText="1"/>
    </xf>
    <xf numFmtId="0" fontId="63" fillId="0" borderId="65" xfId="0" applyFont="1" applyBorder="1" applyAlignment="1">
      <alignment horizontal="left" vertical="center" wrapText="1" indent="2"/>
    </xf>
    <xf numFmtId="0" fontId="3" fillId="4" borderId="1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5"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17" xfId="0" applyFont="1" applyFill="1" applyBorder="1" applyAlignment="1" applyProtection="1">
      <alignment horizontal="right" vertical="center"/>
      <protection locked="0"/>
    </xf>
    <xf numFmtId="0" fontId="3" fillId="4" borderId="35"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0" fillId="0" borderId="14"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 fillId="0" borderId="5" xfId="0" applyFont="1" applyBorder="1" applyAlignment="1">
      <alignment horizontal="left" vertical="center"/>
    </xf>
    <xf numFmtId="0" fontId="3" fillId="0" borderId="0" xfId="0" applyFont="1" applyAlignment="1">
      <alignment horizontal="left" vertical="center"/>
    </xf>
    <xf numFmtId="0" fontId="6" fillId="0" borderId="0" xfId="0" applyFont="1" applyAlignment="1" applyProtection="1">
      <alignment horizontal="center" vertical="center"/>
      <protection locked="0"/>
    </xf>
    <xf numFmtId="0" fontId="3" fillId="0" borderId="0" xfId="0" applyFont="1" applyAlignment="1">
      <alignment horizontal="right" vertical="center"/>
    </xf>
    <xf numFmtId="0" fontId="6" fillId="0" borderId="0" xfId="0" applyFont="1" applyAlignment="1" applyProtection="1">
      <alignment vertical="center"/>
      <protection locked="0"/>
    </xf>
    <xf numFmtId="0" fontId="2" fillId="4" borderId="0" xfId="0" applyFont="1" applyFill="1" applyAlignment="1">
      <alignment horizontal="left" vertical="center"/>
    </xf>
    <xf numFmtId="0" fontId="3"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0" fontId="78" fillId="3" borderId="0" xfId="0" applyFont="1" applyFill="1" applyAlignment="1">
      <alignment horizontal="right" vertical="center"/>
    </xf>
    <xf numFmtId="14" fontId="14" fillId="0" borderId="0" xfId="0" applyNumberFormat="1" applyFont="1" applyAlignment="1" applyProtection="1">
      <alignment horizontal="center" vertical="center"/>
      <protection locked="0"/>
    </xf>
    <xf numFmtId="0" fontId="57" fillId="10" borderId="5" xfId="0" applyFont="1" applyFill="1" applyBorder="1" applyAlignment="1">
      <alignment horizontal="left"/>
    </xf>
    <xf numFmtId="0" fontId="57" fillId="10" borderId="0" xfId="0" applyFont="1" applyFill="1" applyAlignment="1">
      <alignment horizontal="left"/>
    </xf>
    <xf numFmtId="0" fontId="57" fillId="10" borderId="6" xfId="0" applyFont="1" applyFill="1" applyBorder="1" applyAlignment="1">
      <alignment horizontal="left"/>
    </xf>
    <xf numFmtId="0" fontId="3" fillId="0" borderId="14" xfId="0" applyFont="1" applyBorder="1" applyAlignment="1">
      <alignment horizontal="right"/>
    </xf>
    <xf numFmtId="0" fontId="3" fillId="0" borderId="10" xfId="0" applyFont="1" applyBorder="1" applyAlignment="1">
      <alignment horizontal="right"/>
    </xf>
    <xf numFmtId="0" fontId="3" fillId="0" borderId="19" xfId="0" applyFont="1" applyBorder="1" applyAlignment="1">
      <alignment horizontal="right"/>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92" fillId="0" borderId="3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9"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96" fillId="0" borderId="0" xfId="0" applyFont="1" applyAlignment="1">
      <alignment horizontal="center" vertical="center"/>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63" fillId="0" borderId="5" xfId="0" applyFont="1" applyBorder="1" applyAlignment="1">
      <alignment horizontal="left" vertical="top" wrapText="1"/>
    </xf>
    <xf numFmtId="0" fontId="63" fillId="0" borderId="0" xfId="0" applyFont="1" applyAlignment="1">
      <alignment horizontal="left" vertical="top" wrapText="1"/>
    </xf>
    <xf numFmtId="0" fontId="63" fillId="0" borderId="6" xfId="0" applyFont="1" applyBorder="1" applyAlignment="1">
      <alignment horizontal="left" vertical="top" wrapText="1"/>
    </xf>
    <xf numFmtId="0" fontId="63" fillId="0" borderId="23" xfId="0" applyFont="1" applyBorder="1" applyAlignment="1">
      <alignment horizontal="left" vertical="top" wrapText="1"/>
    </xf>
    <xf numFmtId="0" fontId="63" fillId="0" borderId="4" xfId="0" applyFont="1" applyBorder="1" applyAlignment="1">
      <alignment horizontal="left" vertical="top" wrapText="1"/>
    </xf>
    <xf numFmtId="0" fontId="63" fillId="0" borderId="24" xfId="0" applyFont="1" applyBorder="1" applyAlignment="1">
      <alignment horizontal="left" vertical="top" wrapText="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 fontId="3" fillId="0" borderId="2" xfId="6" applyNumberFormat="1" applyFont="1" applyBorder="1" applyAlignment="1">
      <alignment horizontal="center" vertical="center"/>
    </xf>
    <xf numFmtId="1" fontId="3" fillId="0" borderId="3" xfId="6" applyNumberFormat="1" applyFont="1" applyBorder="1" applyAlignment="1">
      <alignment horizontal="center" vertical="center"/>
    </xf>
    <xf numFmtId="0" fontId="97" fillId="10" borderId="37" xfId="0" applyFont="1" applyFill="1" applyBorder="1" applyAlignment="1">
      <alignment horizontal="center" vertical="center"/>
    </xf>
    <xf numFmtId="0" fontId="97" fillId="10" borderId="4" xfId="0" applyFont="1" applyFill="1" applyBorder="1" applyAlignment="1">
      <alignment horizontal="center" vertical="center"/>
    </xf>
    <xf numFmtId="0" fontId="97" fillId="10" borderId="36" xfId="0" applyFont="1" applyFill="1" applyBorder="1" applyAlignment="1">
      <alignment horizontal="center" vertical="center"/>
    </xf>
    <xf numFmtId="0" fontId="3" fillId="0" borderId="65" xfId="0" applyFont="1" applyBorder="1" applyAlignment="1">
      <alignment horizontal="left" vertical="center"/>
    </xf>
    <xf numFmtId="0" fontId="3" fillId="0" borderId="18"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lignment horizontal="right" vertical="center"/>
    </xf>
    <xf numFmtId="0" fontId="3" fillId="0" borderId="18" xfId="0" applyFont="1" applyBorder="1" applyAlignment="1">
      <alignment horizontal="right"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65" xfId="0" applyFont="1" applyBorder="1" applyAlignment="1">
      <alignment horizontal="right" vertical="center"/>
    </xf>
    <xf numFmtId="0" fontId="0" fillId="0" borderId="7" xfId="0" applyBorder="1" applyAlignment="1">
      <alignment horizontal="center"/>
    </xf>
    <xf numFmtId="0" fontId="0" fillId="0" borderId="9" xfId="0" applyBorder="1" applyAlignment="1">
      <alignment horizontal="center"/>
    </xf>
    <xf numFmtId="0" fontId="3" fillId="0" borderId="5" xfId="0" applyFont="1" applyBorder="1" applyAlignment="1">
      <alignment horizontal="right" wrapText="1"/>
    </xf>
    <xf numFmtId="0" fontId="3" fillId="0" borderId="0" xfId="0" applyFont="1" applyAlignment="1">
      <alignment horizontal="right"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65" xfId="0" applyFont="1" applyBorder="1" applyAlignment="1">
      <alignment horizontal="right"/>
    </xf>
    <xf numFmtId="0" fontId="3" fillId="0" borderId="18" xfId="0" applyFont="1" applyBorder="1" applyAlignment="1">
      <alignment horizontal="right"/>
    </xf>
    <xf numFmtId="0" fontId="63" fillId="0" borderId="65" xfId="0" applyFont="1" applyBorder="1" applyAlignment="1">
      <alignment horizontal="left" vertical="center"/>
    </xf>
    <xf numFmtId="0" fontId="63" fillId="0" borderId="0" xfId="0" applyFont="1" applyAlignment="1">
      <alignment horizontal="left" vertical="center"/>
    </xf>
    <xf numFmtId="0" fontId="63" fillId="0" borderId="18" xfId="0" applyFont="1" applyBorder="1" applyAlignment="1">
      <alignment horizontal="left" vertical="center"/>
    </xf>
    <xf numFmtId="0" fontId="3" fillId="0" borderId="3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6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81" fillId="0" borderId="0" xfId="0" applyFont="1" applyAlignment="1">
      <alignment horizontal="left" vertical="center"/>
    </xf>
    <xf numFmtId="0" fontId="10" fillId="3" borderId="65" xfId="0" applyFont="1" applyFill="1" applyBorder="1" applyAlignment="1">
      <alignment horizontal="left" vertical="center"/>
    </xf>
    <xf numFmtId="0" fontId="10" fillId="3" borderId="18" xfId="0" applyFont="1" applyFill="1" applyBorder="1" applyAlignment="1">
      <alignment horizontal="left" vertical="center"/>
    </xf>
    <xf numFmtId="0" fontId="0" fillId="0" borderId="4" xfId="0" applyBorder="1" applyAlignment="1">
      <alignment horizontal="center" wrapText="1"/>
    </xf>
    <xf numFmtId="0" fontId="3" fillId="0" borderId="35"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37" xfId="0" applyFont="1" applyBorder="1" applyAlignment="1">
      <alignment horizontal="left"/>
    </xf>
    <xf numFmtId="0" fontId="14" fillId="0" borderId="4" xfId="0" applyFont="1" applyBorder="1" applyAlignment="1">
      <alignment horizontal="left"/>
    </xf>
    <xf numFmtId="0" fontId="14" fillId="0" borderId="36" xfId="0" applyFont="1" applyBorder="1" applyAlignment="1">
      <alignment horizontal="left"/>
    </xf>
    <xf numFmtId="2" fontId="79" fillId="10" borderId="37" xfId="0" applyNumberFormat="1" applyFont="1" applyFill="1" applyBorder="1" applyAlignment="1">
      <alignment horizontal="center" vertical="center"/>
    </xf>
    <xf numFmtId="2" fontId="79" fillId="10" borderId="4" xfId="0" applyNumberFormat="1" applyFont="1" applyFill="1" applyBorder="1" applyAlignment="1">
      <alignment horizontal="center" vertical="center"/>
    </xf>
    <xf numFmtId="2" fontId="79" fillId="10" borderId="36" xfId="0" applyNumberFormat="1" applyFont="1" applyFill="1" applyBorder="1" applyAlignment="1">
      <alignment horizontal="center" vertical="center"/>
    </xf>
    <xf numFmtId="0" fontId="89" fillId="10" borderId="37" xfId="0" applyFont="1" applyFill="1" applyBorder="1" applyAlignment="1">
      <alignment horizontal="center" vertical="center" wrapText="1"/>
    </xf>
    <xf numFmtId="0" fontId="89" fillId="10" borderId="4" xfId="0" applyFont="1" applyFill="1" applyBorder="1" applyAlignment="1">
      <alignment horizontal="center" vertical="center" wrapText="1"/>
    </xf>
    <xf numFmtId="0" fontId="89" fillId="10" borderId="36" xfId="0" applyFont="1" applyFill="1" applyBorder="1" applyAlignment="1">
      <alignment horizontal="center" vertical="center" wrapText="1"/>
    </xf>
    <xf numFmtId="0" fontId="79" fillId="10" borderId="37" xfId="0" applyFont="1" applyFill="1" applyBorder="1" applyAlignment="1">
      <alignment horizontal="center" vertical="center" wrapText="1"/>
    </xf>
    <xf numFmtId="0" fontId="79" fillId="10" borderId="4" xfId="0" applyFont="1" applyFill="1" applyBorder="1" applyAlignment="1">
      <alignment horizontal="center" vertical="center" wrapText="1"/>
    </xf>
    <xf numFmtId="0" fontId="79" fillId="10" borderId="36"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3" borderId="0" xfId="0" applyFont="1" applyFill="1" applyAlignment="1">
      <alignment horizontal="center" vertical="center"/>
    </xf>
    <xf numFmtId="0" fontId="10" fillId="3" borderId="18" xfId="0" applyFont="1" applyFill="1" applyBorder="1" applyAlignment="1">
      <alignment horizontal="center" vertical="center"/>
    </xf>
    <xf numFmtId="2" fontId="79" fillId="10" borderId="65" xfId="0" applyNumberFormat="1" applyFont="1" applyFill="1" applyBorder="1" applyAlignment="1">
      <alignment horizontal="center"/>
    </xf>
    <xf numFmtId="2" fontId="79" fillId="10" borderId="0" xfId="0" applyNumberFormat="1" applyFont="1" applyFill="1" applyAlignment="1">
      <alignment horizontal="center"/>
    </xf>
    <xf numFmtId="2" fontId="79" fillId="10" borderId="18" xfId="0" applyNumberFormat="1" applyFont="1" applyFill="1" applyBorder="1" applyAlignment="1">
      <alignment horizontal="center"/>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2" fontId="3" fillId="0" borderId="65" xfId="0" applyNumberFormat="1" applyFont="1" applyBorder="1" applyAlignment="1">
      <alignment horizontal="center" vertical="center"/>
    </xf>
    <xf numFmtId="2" fontId="3" fillId="0" borderId="0" xfId="0" applyNumberFormat="1" applyFont="1" applyAlignment="1">
      <alignment horizontal="center" vertical="center"/>
    </xf>
    <xf numFmtId="0" fontId="6" fillId="0" borderId="65"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2" fontId="3" fillId="0" borderId="1" xfId="0" applyNumberFormat="1" applyFont="1" applyBorder="1" applyAlignment="1">
      <alignment horizontal="center" vertical="center"/>
    </xf>
    <xf numFmtId="0" fontId="63" fillId="0" borderId="65" xfId="0" applyFont="1" applyBorder="1" applyAlignment="1">
      <alignment horizontal="left"/>
    </xf>
    <xf numFmtId="0" fontId="63" fillId="0" borderId="0" xfId="0" applyFont="1" applyAlignment="1">
      <alignment horizontal="left"/>
    </xf>
    <xf numFmtId="0" fontId="63" fillId="0" borderId="18" xfId="0" applyFont="1" applyBorder="1" applyAlignment="1">
      <alignment horizontal="left"/>
    </xf>
    <xf numFmtId="0" fontId="89" fillId="10" borderId="65"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18" xfId="0" applyFont="1" applyFill="1" applyBorder="1" applyAlignment="1">
      <alignment horizontal="center" vertical="center" wrapText="1"/>
    </xf>
    <xf numFmtId="0" fontId="79" fillId="10" borderId="65" xfId="0" applyFont="1" applyFill="1" applyBorder="1" applyAlignment="1">
      <alignment horizontal="center" vertical="center" wrapText="1"/>
    </xf>
    <xf numFmtId="0" fontId="79" fillId="10" borderId="0" xfId="0" applyFont="1" applyFill="1" applyAlignment="1">
      <alignment horizontal="center" vertical="center" wrapText="1"/>
    </xf>
    <xf numFmtId="0" fontId="79" fillId="10" borderId="18" xfId="0" applyFont="1" applyFill="1" applyBorder="1" applyAlignment="1">
      <alignment horizontal="center" vertical="center" wrapText="1"/>
    </xf>
    <xf numFmtId="0" fontId="3" fillId="0" borderId="37" xfId="0" applyFont="1" applyBorder="1" applyAlignment="1">
      <alignment horizontal="right"/>
    </xf>
    <xf numFmtId="0" fontId="3" fillId="0" borderId="4" xfId="0" applyFont="1" applyBorder="1" applyAlignment="1">
      <alignment horizontal="right"/>
    </xf>
    <xf numFmtId="0" fontId="3" fillId="0" borderId="36" xfId="0" applyFont="1" applyBorder="1" applyAlignment="1">
      <alignment horizontal="right"/>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98" fillId="0" borderId="65" xfId="0" applyFont="1" applyBorder="1" applyAlignment="1">
      <alignment horizontal="left"/>
    </xf>
    <xf numFmtId="0" fontId="98" fillId="0" borderId="0" xfId="0" applyFont="1" applyAlignment="1">
      <alignment horizontal="left"/>
    </xf>
    <xf numFmtId="0" fontId="98" fillId="0" borderId="18" xfId="0" applyFont="1" applyBorder="1" applyAlignment="1">
      <alignment horizontal="left"/>
    </xf>
    <xf numFmtId="0" fontId="98" fillId="0" borderId="65" xfId="0" applyFont="1" applyBorder="1"/>
    <xf numFmtId="0" fontId="98" fillId="0" borderId="0" xfId="0" applyFont="1"/>
    <xf numFmtId="0" fontId="98" fillId="0" borderId="18" xfId="0" applyFont="1" applyBorder="1"/>
    <xf numFmtId="0" fontId="14" fillId="0" borderId="65" xfId="0" applyFont="1" applyBorder="1" applyAlignment="1">
      <alignment horizontal="left"/>
    </xf>
    <xf numFmtId="0" fontId="14" fillId="0" borderId="0" xfId="0" applyFont="1" applyAlignment="1">
      <alignment horizontal="left"/>
    </xf>
    <xf numFmtId="0" fontId="14" fillId="0" borderId="18" xfId="0" applyFont="1" applyBorder="1" applyAlignment="1">
      <alignment horizontal="left"/>
    </xf>
    <xf numFmtId="0" fontId="63" fillId="0" borderId="65" xfId="0" applyFont="1" applyBorder="1"/>
    <xf numFmtId="0" fontId="63" fillId="0" borderId="0" xfId="0" applyFont="1"/>
    <xf numFmtId="0" fontId="63" fillId="0" borderId="18" xfId="0" applyFont="1" applyBorder="1"/>
    <xf numFmtId="0" fontId="79" fillId="10" borderId="2" xfId="0" applyFont="1" applyFill="1" applyBorder="1" applyAlignment="1">
      <alignment horizontal="center" vertical="center"/>
    </xf>
    <xf numFmtId="0" fontId="79" fillId="10" borderId="17" xfId="0" applyFont="1" applyFill="1" applyBorder="1" applyAlignment="1">
      <alignment horizontal="center" vertical="center"/>
    </xf>
    <xf numFmtId="0" fontId="79" fillId="10" borderId="3" xfId="0" applyFont="1" applyFill="1" applyBorder="1" applyAlignment="1">
      <alignment horizontal="center" vertical="center"/>
    </xf>
    <xf numFmtId="0" fontId="79" fillId="10" borderId="65" xfId="0" applyFont="1" applyFill="1" applyBorder="1" applyAlignment="1">
      <alignment horizontal="center" wrapText="1"/>
    </xf>
    <xf numFmtId="0" fontId="79" fillId="10" borderId="0" xfId="0" applyFont="1" applyFill="1" applyAlignment="1">
      <alignment horizontal="center" wrapText="1"/>
    </xf>
    <xf numFmtId="0" fontId="79" fillId="10" borderId="75" xfId="0" applyFont="1" applyFill="1" applyBorder="1" applyAlignment="1">
      <alignment horizontal="center" wrapText="1"/>
    </xf>
    <xf numFmtId="0" fontId="12" fillId="0" borderId="114" xfId="0" applyFont="1" applyBorder="1" applyAlignment="1">
      <alignment horizontal="left" vertical="center"/>
    </xf>
    <xf numFmtId="0" fontId="12" fillId="0" borderId="4" xfId="0" applyFont="1" applyBorder="1" applyAlignment="1">
      <alignment horizontal="left" vertical="center"/>
    </xf>
    <xf numFmtId="0" fontId="12" fillId="0" borderId="36" xfId="0" applyFont="1" applyBorder="1" applyAlignment="1">
      <alignment horizontal="left" vertical="center"/>
    </xf>
    <xf numFmtId="0" fontId="89" fillId="10" borderId="37" xfId="0" applyFont="1" applyFill="1" applyBorder="1" applyAlignment="1">
      <alignment horizontal="center" vertical="center"/>
    </xf>
    <xf numFmtId="0" fontId="89" fillId="10" borderId="4" xfId="0" applyFont="1" applyFill="1" applyBorder="1" applyAlignment="1">
      <alignment horizontal="center" vertical="center"/>
    </xf>
    <xf numFmtId="0" fontId="89" fillId="10" borderId="36" xfId="0" applyFont="1" applyFill="1" applyBorder="1" applyAlignment="1">
      <alignment horizontal="center" vertical="center"/>
    </xf>
    <xf numFmtId="0" fontId="14" fillId="0" borderId="65" xfId="0" applyFont="1" applyBorder="1" applyAlignment="1">
      <alignment vertical="center"/>
    </xf>
    <xf numFmtId="0" fontId="14" fillId="0" borderId="0" xfId="0" applyFont="1" applyAlignment="1">
      <alignment vertical="center"/>
    </xf>
    <xf numFmtId="0" fontId="14" fillId="0" borderId="18" xfId="0" applyFont="1" applyBorder="1" applyAlignment="1">
      <alignment vertical="center"/>
    </xf>
    <xf numFmtId="0" fontId="3" fillId="0" borderId="6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8"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9" xfId="0" applyFont="1" applyBorder="1" applyAlignment="1">
      <alignment horizontal="left" vertical="center" wrapText="1" indent="1"/>
    </xf>
    <xf numFmtId="0" fontId="63" fillId="0" borderId="35" xfId="0" applyFont="1" applyBorder="1" applyAlignment="1">
      <alignment horizontal="left" vertical="center"/>
    </xf>
    <xf numFmtId="0" fontId="63" fillId="0" borderId="10" xfId="0" applyFont="1" applyBorder="1" applyAlignment="1">
      <alignment horizontal="left" vertical="center"/>
    </xf>
    <xf numFmtId="0" fontId="63" fillId="0" borderId="19" xfId="0" applyFont="1" applyBorder="1" applyAlignment="1">
      <alignment horizontal="left" vertical="center"/>
    </xf>
    <xf numFmtId="0" fontId="79" fillId="10" borderId="115" xfId="0" applyFont="1" applyFill="1" applyBorder="1" applyAlignment="1">
      <alignment horizontal="center" vertical="center"/>
    </xf>
    <xf numFmtId="0" fontId="79" fillId="10" borderId="94" xfId="0" applyFont="1" applyFill="1" applyBorder="1" applyAlignment="1">
      <alignment horizontal="center"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80" fillId="0" borderId="74" xfId="0" applyFont="1" applyBorder="1" applyAlignment="1">
      <alignment horizontal="left" vertical="center"/>
    </xf>
    <xf numFmtId="0" fontId="80" fillId="0" borderId="0" xfId="0" applyFont="1" applyAlignment="1">
      <alignment horizontal="left" vertical="center"/>
    </xf>
    <xf numFmtId="0" fontId="80" fillId="0" borderId="18" xfId="0" applyFont="1" applyBorder="1" applyAlignment="1">
      <alignment horizontal="left" vertical="center"/>
    </xf>
    <xf numFmtId="0" fontId="79" fillId="10" borderId="1" xfId="0" applyFont="1" applyFill="1" applyBorder="1" applyAlignment="1">
      <alignment horizontal="center" vertical="center"/>
    </xf>
    <xf numFmtId="0" fontId="79" fillId="10" borderId="116" xfId="0" applyFont="1" applyFill="1" applyBorder="1" applyAlignment="1">
      <alignment horizontal="center" vertical="center" wrapText="1"/>
    </xf>
    <xf numFmtId="0" fontId="79" fillId="10" borderId="91" xfId="0" applyFont="1" applyFill="1" applyBorder="1" applyAlignment="1">
      <alignment horizontal="center" vertical="center" wrapText="1"/>
    </xf>
    <xf numFmtId="0" fontId="79" fillId="10" borderId="92" xfId="0" applyFont="1" applyFill="1" applyBorder="1" applyAlignment="1">
      <alignment horizontal="center" vertical="center" wrapText="1"/>
    </xf>
    <xf numFmtId="0" fontId="79" fillId="10" borderId="75" xfId="0" applyFont="1" applyFill="1" applyBorder="1" applyAlignment="1">
      <alignment horizontal="center" vertical="center" wrapText="1"/>
    </xf>
    <xf numFmtId="0" fontId="12" fillId="0" borderId="7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79" fillId="10" borderId="35" xfId="0" applyFont="1" applyFill="1" applyBorder="1" applyAlignment="1">
      <alignment horizontal="center" vertical="center"/>
    </xf>
    <xf numFmtId="0" fontId="79" fillId="10" borderId="10" xfId="0" applyFont="1" applyFill="1" applyBorder="1" applyAlignment="1">
      <alignment horizontal="center" vertical="center"/>
    </xf>
    <xf numFmtId="0" fontId="79" fillId="10" borderId="78" xfId="0" applyFont="1" applyFill="1" applyBorder="1" applyAlignment="1">
      <alignment horizontal="center" vertical="center"/>
    </xf>
    <xf numFmtId="0" fontId="12" fillId="0" borderId="77" xfId="0" applyFont="1" applyBorder="1" applyAlignment="1">
      <alignment horizontal="left" vertical="center"/>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3" fillId="0" borderId="17" xfId="0"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166" fontId="3" fillId="0" borderId="1"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2" fontId="3" fillId="0" borderId="2"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0" fontId="31" fillId="0" borderId="0" xfId="0" applyFont="1" applyAlignment="1">
      <alignment horizontal="center" vertical="center"/>
    </xf>
    <xf numFmtId="0" fontId="0" fillId="0" borderId="65" xfId="0" applyBorder="1" applyAlignment="1">
      <alignment horizontal="center"/>
    </xf>
    <xf numFmtId="0" fontId="63" fillId="0" borderId="65" xfId="0" applyFont="1" applyBorder="1" applyAlignment="1">
      <alignment horizontal="center" vertical="center"/>
    </xf>
    <xf numFmtId="0" fontId="63" fillId="0" borderId="0" xfId="0" applyFont="1" applyAlignment="1">
      <alignment horizontal="center" vertical="center"/>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0" fontId="63" fillId="0" borderId="18" xfId="0" applyFont="1" applyBorder="1" applyAlignment="1">
      <alignment horizontal="center" vertical="center"/>
    </xf>
    <xf numFmtId="0" fontId="3" fillId="0" borderId="37" xfId="0" applyFont="1" applyBorder="1" applyAlignment="1">
      <alignment horizontal="left" wrapText="1"/>
    </xf>
    <xf numFmtId="0" fontId="3" fillId="0" borderId="4" xfId="0" applyFont="1" applyBorder="1" applyAlignment="1">
      <alignment horizontal="left" wrapText="1"/>
    </xf>
    <xf numFmtId="0" fontId="3" fillId="0" borderId="36" xfId="0" applyFont="1" applyBorder="1" applyAlignment="1">
      <alignment horizontal="left" wrapText="1"/>
    </xf>
    <xf numFmtId="0" fontId="3" fillId="0" borderId="65"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1" fillId="0" borderId="0" xfId="0" applyFont="1" applyAlignment="1">
      <alignment horizontal="center"/>
    </xf>
    <xf numFmtId="0" fontId="3" fillId="0" borderId="1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6" fillId="0" borderId="0" xfId="0" applyFont="1" applyAlignment="1">
      <alignment horizontal="center"/>
    </xf>
    <xf numFmtId="0" fontId="3" fillId="10" borderId="93" xfId="0" applyFont="1" applyFill="1" applyBorder="1" applyAlignment="1">
      <alignment horizontal="center" vertical="center" wrapText="1"/>
    </xf>
    <xf numFmtId="0" fontId="3" fillId="10" borderId="94" xfId="0" applyFont="1" applyFill="1" applyBorder="1" applyAlignment="1">
      <alignment horizontal="center" vertical="center" wrapText="1"/>
    </xf>
    <xf numFmtId="0" fontId="3" fillId="10" borderId="95" xfId="0" applyFont="1" applyFill="1" applyBorder="1" applyAlignment="1">
      <alignment horizontal="center" vertical="center" wrapText="1"/>
    </xf>
    <xf numFmtId="0" fontId="84" fillId="22" borderId="108" xfId="0" applyFont="1" applyFill="1" applyBorder="1" applyAlignment="1">
      <alignment horizontal="left"/>
    </xf>
    <xf numFmtId="0" fontId="84" fillId="22" borderId="109" xfId="0" applyFont="1" applyFill="1" applyBorder="1" applyAlignment="1">
      <alignment horizontal="left"/>
    </xf>
    <xf numFmtId="0" fontId="84" fillId="22" borderId="110" xfId="0" applyFont="1" applyFill="1" applyBorder="1" applyAlignment="1">
      <alignment horizontal="left"/>
    </xf>
    <xf numFmtId="0" fontId="85" fillId="22" borderId="111" xfId="0" applyFont="1" applyFill="1" applyBorder="1" applyAlignment="1">
      <alignment horizontal="left"/>
    </xf>
    <xf numFmtId="0" fontId="85" fillId="22" borderId="112" xfId="0" applyFont="1" applyFill="1" applyBorder="1" applyAlignment="1">
      <alignment horizontal="left"/>
    </xf>
    <xf numFmtId="0" fontId="85" fillId="22" borderId="113" xfId="0" applyFont="1" applyFill="1" applyBorder="1" applyAlignment="1">
      <alignment horizontal="left"/>
    </xf>
    <xf numFmtId="0" fontId="86" fillId="22" borderId="35" xfId="0" applyFont="1" applyFill="1" applyBorder="1" applyAlignment="1">
      <alignment horizontal="left"/>
    </xf>
    <xf numFmtId="0" fontId="86" fillId="22" borderId="10" xfId="0" applyFont="1" applyFill="1" applyBorder="1" applyAlignment="1">
      <alignment horizontal="left"/>
    </xf>
    <xf numFmtId="0" fontId="87" fillId="22" borderId="94" xfId="0" applyFont="1" applyFill="1" applyBorder="1" applyAlignment="1">
      <alignment horizontal="left"/>
    </xf>
    <xf numFmtId="0" fontId="87" fillId="22" borderId="95" xfId="0" applyFont="1" applyFill="1" applyBorder="1" applyAlignment="1">
      <alignment horizontal="left"/>
    </xf>
    <xf numFmtId="0" fontId="3" fillId="0" borderId="0" xfId="0" applyFont="1" applyAlignment="1" applyProtection="1">
      <alignment horizontal="center"/>
      <protection hidden="1"/>
    </xf>
    <xf numFmtId="0" fontId="79" fillId="10" borderId="74" xfId="0" applyFont="1" applyFill="1" applyBorder="1" applyAlignment="1">
      <alignment horizontal="left"/>
    </xf>
    <xf numFmtId="0" fontId="79" fillId="10" borderId="0" xfId="0" applyFont="1" applyFill="1" applyAlignment="1">
      <alignment horizontal="left"/>
    </xf>
    <xf numFmtId="0" fontId="79" fillId="10" borderId="75" xfId="0" applyFont="1" applyFill="1" applyBorder="1" applyAlignment="1">
      <alignment horizontal="left"/>
    </xf>
    <xf numFmtId="0" fontId="3" fillId="0" borderId="7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74" xfId="0" applyFont="1" applyBorder="1" applyAlignment="1">
      <alignment horizontal="right" vertical="center"/>
    </xf>
    <xf numFmtId="172" fontId="3" fillId="0" borderId="0" xfId="0" applyNumberFormat="1" applyFont="1" applyAlignment="1" applyProtection="1">
      <alignment horizontal="center" vertical="center"/>
      <protection locked="0"/>
    </xf>
    <xf numFmtId="172" fontId="3" fillId="0" borderId="75" xfId="0" applyNumberFormat="1" applyFont="1" applyBorder="1" applyAlignment="1" applyProtection="1">
      <alignment horizontal="center" vertical="center"/>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94"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74" xfId="0" applyFont="1" applyBorder="1" applyAlignment="1">
      <alignment horizontal="right"/>
    </xf>
    <xf numFmtId="0" fontId="3" fillId="0" borderId="74" xfId="0" applyFont="1" applyBorder="1" applyAlignment="1">
      <alignment horizontal="left" vertical="center" wrapText="1"/>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3" fillId="0" borderId="94" xfId="0" applyFont="1" applyBorder="1" applyAlignment="1">
      <alignment horizontal="right"/>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3" fillId="0" borderId="89" xfId="0" applyFont="1" applyBorder="1" applyAlignment="1">
      <alignment horizontal="left" vertical="center" wrapText="1"/>
    </xf>
    <xf numFmtId="0" fontId="3" fillId="0" borderId="87" xfId="0" applyFont="1" applyBorder="1" applyAlignment="1">
      <alignment horizontal="right"/>
    </xf>
    <xf numFmtId="0" fontId="3" fillId="0" borderId="88" xfId="0" applyFont="1" applyBorder="1" applyAlignment="1">
      <alignment horizontal="right"/>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79" fillId="10" borderId="87" xfId="0" applyFont="1" applyFill="1" applyBorder="1" applyAlignment="1">
      <alignment horizontal="left"/>
    </xf>
    <xf numFmtId="0" fontId="79" fillId="10" borderId="88" xfId="0" applyFont="1" applyFill="1" applyBorder="1" applyAlignment="1">
      <alignment horizontal="left"/>
    </xf>
    <xf numFmtId="0" fontId="79" fillId="10" borderId="89" xfId="0" applyFont="1" applyFill="1" applyBorder="1" applyAlignment="1">
      <alignment horizontal="left"/>
    </xf>
    <xf numFmtId="0" fontId="3" fillId="0" borderId="91" xfId="0" applyFont="1" applyBorder="1" applyAlignment="1">
      <alignment horizontal="right"/>
    </xf>
    <xf numFmtId="0" fontId="3" fillId="0" borderId="91" xfId="0" applyFont="1" applyBorder="1" applyAlignment="1">
      <alignment horizontal="right" vertical="center"/>
    </xf>
    <xf numFmtId="0" fontId="3" fillId="0" borderId="74" xfId="0" applyFont="1" applyBorder="1" applyAlignment="1">
      <alignment horizontal="left"/>
    </xf>
    <xf numFmtId="0" fontId="3" fillId="0" borderId="75" xfId="0" applyFont="1" applyBorder="1" applyAlignment="1">
      <alignment horizontal="left"/>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1" fontId="3" fillId="10" borderId="87" xfId="0" applyNumberFormat="1" applyFont="1" applyFill="1" applyBorder="1" applyAlignment="1">
      <alignment horizontal="center"/>
    </xf>
    <xf numFmtId="1" fontId="3" fillId="10" borderId="88" xfId="0" applyNumberFormat="1" applyFont="1" applyFill="1" applyBorder="1" applyAlignment="1">
      <alignment horizontal="center"/>
    </xf>
    <xf numFmtId="1" fontId="3" fillId="10" borderId="89" xfId="0" applyNumberFormat="1" applyFont="1" applyFill="1" applyBorder="1" applyAlignment="1">
      <alignment horizontal="center"/>
    </xf>
    <xf numFmtId="0" fontId="10" fillId="3" borderId="90" xfId="0" applyFont="1" applyFill="1" applyBorder="1" applyAlignment="1">
      <alignment horizontal="left"/>
    </xf>
    <xf numFmtId="0" fontId="10" fillId="3" borderId="91" xfId="0" applyFont="1" applyFill="1" applyBorder="1" applyAlignment="1">
      <alignment horizontal="left"/>
    </xf>
    <xf numFmtId="0" fontId="10" fillId="3" borderId="92" xfId="0" applyFont="1" applyFill="1" applyBorder="1" applyAlignment="1">
      <alignment horizontal="left"/>
    </xf>
    <xf numFmtId="0" fontId="79" fillId="10" borderId="90" xfId="0" applyFont="1" applyFill="1" applyBorder="1" applyAlignment="1">
      <alignment horizontal="left"/>
    </xf>
    <xf numFmtId="0" fontId="79" fillId="10" borderId="91" xfId="0" applyFont="1" applyFill="1" applyBorder="1" applyAlignment="1">
      <alignment horizontal="left"/>
    </xf>
    <xf numFmtId="0" fontId="79" fillId="10" borderId="92" xfId="0" applyFont="1" applyFill="1" applyBorder="1" applyAlignment="1">
      <alignment horizontal="left"/>
    </xf>
    <xf numFmtId="0" fontId="3" fillId="0" borderId="91" xfId="0" applyFont="1" applyBorder="1" applyAlignment="1">
      <alignment horizontal="center"/>
    </xf>
    <xf numFmtId="0" fontId="63" fillId="0" borderId="91" xfId="0" applyFont="1" applyBorder="1" applyAlignment="1">
      <alignment horizontal="center" vertical="center" wrapText="1"/>
    </xf>
    <xf numFmtId="0" fontId="92" fillId="0" borderId="91" xfId="0" applyFont="1" applyBorder="1" applyAlignment="1">
      <alignment horizontal="center" vertical="center" wrapText="1"/>
    </xf>
    <xf numFmtId="0" fontId="3" fillId="0" borderId="94" xfId="0" applyFont="1" applyBorder="1" applyAlignment="1">
      <alignment horizontal="center" vertical="center"/>
    </xf>
    <xf numFmtId="1" fontId="3" fillId="0" borderId="94" xfId="0" applyNumberFormat="1" applyFont="1" applyBorder="1" applyAlignment="1" applyProtection="1">
      <alignment horizontal="center" vertical="center"/>
      <protection locked="0"/>
    </xf>
    <xf numFmtId="1" fontId="3" fillId="0" borderId="95" xfId="0" applyNumberFormat="1" applyFont="1" applyBorder="1" applyAlignment="1" applyProtection="1">
      <alignment horizontal="center" vertical="center"/>
      <protection locked="0"/>
    </xf>
    <xf numFmtId="171" fontId="3" fillId="0" borderId="0" xfId="6" applyNumberFormat="1" applyFont="1" applyBorder="1" applyAlignment="1" applyProtection="1">
      <alignment horizontal="center"/>
    </xf>
    <xf numFmtId="0" fontId="91" fillId="10" borderId="87" xfId="0" applyFont="1" applyFill="1" applyBorder="1" applyAlignment="1">
      <alignment horizontal="left" vertical="center" wrapText="1"/>
    </xf>
    <xf numFmtId="0" fontId="91" fillId="10" borderId="88" xfId="0" applyFont="1" applyFill="1" applyBorder="1" applyAlignment="1">
      <alignment horizontal="left" vertical="center" wrapText="1"/>
    </xf>
    <xf numFmtId="0" fontId="91" fillId="10" borderId="89" xfId="0" applyFont="1" applyFill="1" applyBorder="1" applyAlignment="1">
      <alignment horizontal="left" vertical="center" wrapText="1"/>
    </xf>
    <xf numFmtId="0" fontId="76" fillId="4" borderId="65" xfId="0" applyFont="1" applyFill="1" applyBorder="1" applyAlignment="1">
      <alignment horizontal="left"/>
    </xf>
    <xf numFmtId="0" fontId="76" fillId="4" borderId="0" xfId="0" applyFont="1" applyFill="1" applyAlignment="1">
      <alignment horizontal="left"/>
    </xf>
    <xf numFmtId="0" fontId="76" fillId="4" borderId="18" xfId="0" applyFont="1" applyFill="1" applyBorder="1" applyAlignment="1">
      <alignment horizontal="left"/>
    </xf>
    <xf numFmtId="0" fontId="3" fillId="0" borderId="88" xfId="0" applyFont="1" applyBorder="1" applyAlignment="1">
      <alignment horizontal="center"/>
    </xf>
    <xf numFmtId="0" fontId="3" fillId="0" borderId="89" xfId="0" applyFont="1" applyBorder="1" applyAlignment="1">
      <alignment horizontal="center"/>
    </xf>
    <xf numFmtId="0" fontId="3" fillId="10" borderId="105" xfId="0" applyFont="1" applyFill="1" applyBorder="1" applyAlignment="1">
      <alignment horizontal="center"/>
    </xf>
    <xf numFmtId="0" fontId="3" fillId="10" borderId="106" xfId="0" applyFont="1" applyFill="1" applyBorder="1" applyAlignment="1">
      <alignment horizontal="center"/>
    </xf>
    <xf numFmtId="0" fontId="3" fillId="10" borderId="107" xfId="0" applyFont="1" applyFill="1" applyBorder="1" applyAlignment="1">
      <alignment horizontal="center"/>
    </xf>
    <xf numFmtId="0" fontId="84" fillId="22" borderId="100" xfId="0" applyFont="1" applyFill="1" applyBorder="1" applyAlignment="1">
      <alignment horizontal="left"/>
    </xf>
    <xf numFmtId="0" fontId="84" fillId="22" borderId="101" xfId="0" applyFont="1" applyFill="1" applyBorder="1" applyAlignment="1">
      <alignment horizontal="left"/>
    </xf>
    <xf numFmtId="0" fontId="84" fillId="22" borderId="102" xfId="0" applyFont="1" applyFill="1" applyBorder="1" applyAlignment="1">
      <alignment horizontal="left"/>
    </xf>
    <xf numFmtId="0" fontId="85" fillId="22" borderId="103" xfId="0" applyFont="1" applyFill="1" applyBorder="1" applyAlignment="1">
      <alignment horizontal="left"/>
    </xf>
    <xf numFmtId="0" fontId="85" fillId="22" borderId="28" xfId="0" applyFont="1" applyFill="1" applyBorder="1" applyAlignment="1">
      <alignment horizontal="left"/>
    </xf>
    <xf numFmtId="0" fontId="85" fillId="22" borderId="104" xfId="0" applyFont="1" applyFill="1" applyBorder="1" applyAlignment="1">
      <alignment horizontal="left"/>
    </xf>
    <xf numFmtId="0" fontId="87" fillId="22" borderId="10" xfId="0" applyFont="1" applyFill="1" applyBorder="1" applyAlignment="1">
      <alignment horizontal="left"/>
    </xf>
    <xf numFmtId="0" fontId="87" fillId="22" borderId="19" xfId="0" applyFont="1" applyFill="1" applyBorder="1" applyAlignment="1">
      <alignment horizontal="left"/>
    </xf>
    <xf numFmtId="0" fontId="75" fillId="4" borderId="37" xfId="0" applyFont="1" applyFill="1" applyBorder="1" applyAlignment="1">
      <alignment horizontal="left"/>
    </xf>
    <xf numFmtId="0" fontId="75" fillId="4" borderId="4" xfId="0" applyFont="1" applyFill="1" applyBorder="1" applyAlignment="1">
      <alignment horizontal="left"/>
    </xf>
    <xf numFmtId="0" fontId="75" fillId="4" borderId="36" xfId="0" applyFont="1" applyFill="1" applyBorder="1" applyAlignment="1">
      <alignment horizontal="left"/>
    </xf>
    <xf numFmtId="0" fontId="3" fillId="0" borderId="75" xfId="0" applyFont="1" applyBorder="1" applyAlignment="1">
      <alignment horizontal="center"/>
    </xf>
    <xf numFmtId="0" fontId="3" fillId="0" borderId="93" xfId="0" applyFont="1" applyBorder="1" applyAlignment="1">
      <alignment horizontal="right"/>
    </xf>
    <xf numFmtId="0" fontId="3" fillId="0" borderId="94" xfId="0" applyFont="1" applyBorder="1" applyAlignment="1">
      <alignment horizontal="left"/>
    </xf>
    <xf numFmtId="0" fontId="3" fillId="0" borderId="90" xfId="0" applyFont="1" applyBorder="1" applyAlignment="1">
      <alignment horizontal="center"/>
    </xf>
    <xf numFmtId="0" fontId="3" fillId="0" borderId="92" xfId="0" applyFont="1" applyBorder="1" applyAlignment="1">
      <alignment horizontal="center"/>
    </xf>
    <xf numFmtId="0" fontId="3" fillId="0" borderId="74" xfId="0" applyFont="1" applyBorder="1" applyAlignment="1">
      <alignment horizontal="center"/>
    </xf>
    <xf numFmtId="0" fontId="3" fillId="0" borderId="93" xfId="0" applyFont="1" applyBorder="1" applyAlignment="1">
      <alignment horizontal="center"/>
    </xf>
    <xf numFmtId="0" fontId="3" fillId="0" borderId="94" xfId="0" applyFont="1" applyBorder="1" applyAlignment="1">
      <alignment horizontal="center"/>
    </xf>
    <xf numFmtId="0" fontId="3" fillId="0" borderId="95" xfId="0" applyFont="1"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89" fillId="10" borderId="74" xfId="0" applyFont="1" applyFill="1" applyBorder="1" applyAlignment="1">
      <alignment horizontal="center" vertical="center" wrapText="1"/>
    </xf>
    <xf numFmtId="0" fontId="89" fillId="10" borderId="75" xfId="0" applyFont="1" applyFill="1" applyBorder="1" applyAlignment="1">
      <alignment horizontal="center" vertical="center" wrapText="1"/>
    </xf>
    <xf numFmtId="0" fontId="3" fillId="0" borderId="74" xfId="0" applyFont="1" applyBorder="1" applyAlignment="1">
      <alignment horizontal="center" wrapText="1"/>
    </xf>
    <xf numFmtId="0" fontId="3" fillId="0" borderId="0" xfId="0" applyFont="1" applyAlignment="1">
      <alignment horizontal="center" wrapText="1"/>
    </xf>
    <xf numFmtId="0" fontId="3" fillId="0" borderId="75" xfId="0" applyFont="1" applyBorder="1" applyAlignment="1">
      <alignment horizontal="center" vertical="center"/>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2" fontId="79" fillId="10" borderId="90" xfId="0" applyNumberFormat="1" applyFont="1" applyFill="1" applyBorder="1" applyAlignment="1">
      <alignment horizontal="center"/>
    </xf>
    <xf numFmtId="2" fontId="79" fillId="10" borderId="91" xfId="0" applyNumberFormat="1" applyFont="1" applyFill="1" applyBorder="1" applyAlignment="1">
      <alignment horizontal="center"/>
    </xf>
    <xf numFmtId="0" fontId="89" fillId="10" borderId="90" xfId="0" applyFont="1" applyFill="1" applyBorder="1" applyAlignment="1">
      <alignment horizontal="center" vertical="center" wrapText="1"/>
    </xf>
    <xf numFmtId="0" fontId="89" fillId="10" borderId="91" xfId="0" applyFont="1" applyFill="1" applyBorder="1" applyAlignment="1">
      <alignment horizontal="center" vertical="center" wrapText="1"/>
    </xf>
    <xf numFmtId="0" fontId="89" fillId="10" borderId="92" xfId="0" applyFont="1" applyFill="1" applyBorder="1" applyAlignment="1">
      <alignment horizontal="center" vertical="center" wrapText="1"/>
    </xf>
    <xf numFmtId="0" fontId="79" fillId="10" borderId="90" xfId="0" applyFont="1" applyFill="1" applyBorder="1" applyAlignment="1">
      <alignment horizontal="center" vertical="center" wrapText="1"/>
    </xf>
    <xf numFmtId="0" fontId="79" fillId="10" borderId="74" xfId="0" applyFont="1" applyFill="1" applyBorder="1" applyAlignment="1">
      <alignment horizontal="center" vertical="center" wrapText="1"/>
    </xf>
    <xf numFmtId="0" fontId="12" fillId="0" borderId="74" xfId="0" applyFont="1" applyBorder="1" applyAlignment="1">
      <alignment horizontal="right"/>
    </xf>
    <xf numFmtId="0" fontId="12" fillId="0" borderId="0" xfId="0" applyFont="1" applyAlignment="1">
      <alignment horizontal="right"/>
    </xf>
    <xf numFmtId="0" fontId="12" fillId="0" borderId="0" xfId="0" applyFont="1" applyAlignment="1">
      <alignment horizontal="left"/>
    </xf>
    <xf numFmtId="0" fontId="3" fillId="10" borderId="87" xfId="0" applyFont="1" applyFill="1" applyBorder="1" applyAlignment="1">
      <alignment horizontal="center"/>
    </xf>
    <xf numFmtId="0" fontId="3" fillId="10" borderId="88" xfId="0" applyFont="1" applyFill="1" applyBorder="1" applyAlignment="1">
      <alignment horizontal="center"/>
    </xf>
    <xf numFmtId="0" fontId="3" fillId="10" borderId="89" xfId="0" applyFont="1" applyFill="1" applyBorder="1" applyAlignment="1">
      <alignment horizontal="center"/>
    </xf>
    <xf numFmtId="0" fontId="88" fillId="10" borderId="90" xfId="0" applyFont="1" applyFill="1" applyBorder="1" applyAlignment="1">
      <alignment horizontal="center"/>
    </xf>
    <xf numFmtId="0" fontId="88" fillId="10" borderId="91" xfId="0" applyFont="1" applyFill="1" applyBorder="1" applyAlignment="1">
      <alignment horizontal="center"/>
    </xf>
    <xf numFmtId="0" fontId="88" fillId="10" borderId="92" xfId="0" applyFont="1" applyFill="1" applyBorder="1" applyAlignment="1">
      <alignment horizontal="center"/>
    </xf>
    <xf numFmtId="0" fontId="63" fillId="0" borderId="74" xfId="0" applyFont="1" applyBorder="1" applyAlignment="1">
      <alignment horizontal="left" vertical="center"/>
    </xf>
    <xf numFmtId="0" fontId="63" fillId="0" borderId="75" xfId="0" applyFont="1" applyBorder="1" applyAlignment="1">
      <alignment horizontal="left" vertical="center"/>
    </xf>
    <xf numFmtId="0" fontId="12" fillId="0" borderId="7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0" fontId="12" fillId="0" borderId="95" xfId="0" applyFont="1" applyBorder="1" applyAlignment="1" applyProtection="1">
      <alignment horizontal="center" vertical="center" wrapText="1"/>
      <protection locked="0"/>
    </xf>
    <xf numFmtId="2" fontId="79" fillId="10" borderId="92" xfId="0" applyNumberFormat="1" applyFont="1" applyFill="1" applyBorder="1" applyAlignment="1">
      <alignment horizontal="center"/>
    </xf>
    <xf numFmtId="0" fontId="3" fillId="0" borderId="90" xfId="0" applyFont="1" applyBorder="1" applyAlignment="1">
      <alignment horizontal="left"/>
    </xf>
    <xf numFmtId="0" fontId="3" fillId="0" borderId="92" xfId="0" applyFont="1" applyBorder="1" applyAlignment="1">
      <alignment horizontal="left"/>
    </xf>
    <xf numFmtId="0" fontId="3" fillId="0" borderId="93" xfId="0" applyFont="1" applyBorder="1" applyAlignment="1">
      <alignment horizontal="left"/>
    </xf>
    <xf numFmtId="0" fontId="3" fillId="0" borderId="95" xfId="0" applyFont="1" applyBorder="1" applyAlignment="1">
      <alignment horizontal="left"/>
    </xf>
    <xf numFmtId="0" fontId="0" fillId="10" borderId="99" xfId="0" applyFill="1" applyBorder="1" applyAlignment="1">
      <alignment horizontal="center"/>
    </xf>
    <xf numFmtId="0" fontId="0" fillId="10" borderId="98" xfId="0" applyFill="1" applyBorder="1" applyAlignment="1">
      <alignment horizontal="center"/>
    </xf>
    <xf numFmtId="0" fontId="3" fillId="0" borderId="90" xfId="0" applyFont="1" applyBorder="1" applyAlignment="1">
      <alignment horizontal="right" wrapText="1"/>
    </xf>
    <xf numFmtId="0" fontId="3" fillId="0" borderId="92" xfId="0" applyFont="1" applyBorder="1" applyAlignment="1">
      <alignment horizontal="right" wrapText="1"/>
    </xf>
    <xf numFmtId="0" fontId="3" fillId="0" borderId="93" xfId="0" applyFont="1" applyBorder="1" applyAlignment="1">
      <alignment horizontal="right" wrapText="1"/>
    </xf>
    <xf numFmtId="0" fontId="3" fillId="0" borderId="75" xfId="0" applyFont="1" applyBorder="1" applyAlignment="1">
      <alignment horizontal="right" wrapText="1"/>
    </xf>
    <xf numFmtId="0" fontId="3" fillId="0" borderId="97" xfId="0" applyFont="1" applyBorder="1" applyAlignment="1">
      <alignment horizontal="center"/>
    </xf>
    <xf numFmtId="0" fontId="3" fillId="0" borderId="99" xfId="0" applyFont="1" applyBorder="1" applyAlignment="1">
      <alignment horizontal="center"/>
    </xf>
    <xf numFmtId="0" fontId="3" fillId="10" borderId="74" xfId="0" applyFont="1" applyFill="1" applyBorder="1" applyAlignment="1">
      <alignment horizontal="center"/>
    </xf>
    <xf numFmtId="0" fontId="3" fillId="10" borderId="94" xfId="0" applyFont="1" applyFill="1" applyBorder="1" applyAlignment="1">
      <alignment horizontal="center"/>
    </xf>
    <xf numFmtId="0" fontId="3" fillId="10" borderId="95" xfId="0" applyFont="1" applyFill="1" applyBorder="1" applyAlignment="1">
      <alignment horizontal="center"/>
    </xf>
    <xf numFmtId="0" fontId="3" fillId="0" borderId="75" xfId="0" applyFont="1" applyBorder="1" applyAlignment="1">
      <alignment horizontal="right"/>
    </xf>
    <xf numFmtId="0" fontId="3" fillId="0" borderId="95" xfId="0" applyFont="1" applyBorder="1" applyAlignment="1">
      <alignment horizontal="right"/>
    </xf>
    <xf numFmtId="0" fontId="3" fillId="0" borderId="90" xfId="0" applyFont="1" applyBorder="1" applyAlignment="1">
      <alignment horizontal="right"/>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82" fillId="0" borderId="74" xfId="0" applyFont="1" applyBorder="1" applyAlignment="1">
      <alignment horizontal="right"/>
    </xf>
    <xf numFmtId="0" fontId="82" fillId="0" borderId="0" xfId="0" applyFont="1" applyAlignment="1">
      <alignment horizontal="right"/>
    </xf>
    <xf numFmtId="0" fontId="82" fillId="0" borderId="75" xfId="0" applyFont="1" applyBorder="1" applyAlignment="1">
      <alignment horizontal="right"/>
    </xf>
    <xf numFmtId="0" fontId="79" fillId="10" borderId="87" xfId="0" applyFont="1" applyFill="1" applyBorder="1" applyAlignment="1">
      <alignment horizontal="left" vertical="center"/>
    </xf>
    <xf numFmtId="0" fontId="79" fillId="10" borderId="88" xfId="0" applyFont="1" applyFill="1" applyBorder="1" applyAlignment="1">
      <alignment horizontal="left" vertical="center"/>
    </xf>
    <xf numFmtId="0" fontId="79" fillId="10" borderId="89" xfId="0" applyFont="1" applyFill="1" applyBorder="1" applyAlignment="1">
      <alignment horizontal="left" vertical="center"/>
    </xf>
    <xf numFmtId="0" fontId="3" fillId="0" borderId="87"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12" fillId="0" borderId="99" xfId="0" applyFont="1" applyBorder="1" applyAlignment="1" applyProtection="1">
      <alignment horizontal="center" vertical="center"/>
      <protection locked="0"/>
    </xf>
    <xf numFmtId="0" fontId="12" fillId="0" borderId="74" xfId="0" applyFont="1" applyBorder="1" applyAlignment="1">
      <alignment horizontal="left"/>
    </xf>
    <xf numFmtId="0" fontId="12" fillId="0" borderId="75" xfId="0" applyFont="1" applyBorder="1" applyAlignment="1">
      <alignment horizontal="left"/>
    </xf>
    <xf numFmtId="0" fontId="12" fillId="0" borderId="93" xfId="0" applyFont="1" applyBorder="1" applyAlignment="1">
      <alignment horizontal="left" vertical="center"/>
    </xf>
    <xf numFmtId="0" fontId="12" fillId="0" borderId="94" xfId="0" applyFont="1" applyBorder="1" applyAlignment="1">
      <alignment horizontal="left" vertical="center"/>
    </xf>
    <xf numFmtId="0" fontId="12" fillId="0" borderId="95" xfId="0" applyFont="1" applyBorder="1" applyAlignment="1">
      <alignment horizontal="left" vertical="center"/>
    </xf>
    <xf numFmtId="0" fontId="12" fillId="0" borderId="93" xfId="0" applyFont="1" applyBorder="1" applyAlignment="1">
      <alignment horizontal="right"/>
    </xf>
    <xf numFmtId="0" fontId="12" fillId="0" borderId="94" xfId="0" applyFont="1" applyBorder="1" applyAlignment="1">
      <alignment horizontal="right"/>
    </xf>
    <xf numFmtId="0" fontId="12" fillId="0" borderId="95" xfId="0" applyFont="1" applyBorder="1" applyAlignment="1">
      <alignment horizontal="right"/>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81" fillId="0" borderId="88" xfId="0" applyFont="1" applyBorder="1" applyAlignment="1">
      <alignment horizontal="center" vertical="center"/>
    </xf>
    <xf numFmtId="0" fontId="81" fillId="0" borderId="89" xfId="0" applyFont="1" applyBorder="1" applyAlignment="1">
      <alignment horizontal="center" vertical="center"/>
    </xf>
    <xf numFmtId="0" fontId="79" fillId="10" borderId="93" xfId="0" applyFont="1" applyFill="1" applyBorder="1" applyAlignment="1">
      <alignment horizontal="center" vertical="top" wrapText="1"/>
    </xf>
    <xf numFmtId="0" fontId="79" fillId="10" borderId="94" xfId="0" applyFont="1" applyFill="1" applyBorder="1" applyAlignment="1">
      <alignment horizontal="center" vertical="top" wrapText="1"/>
    </xf>
    <xf numFmtId="0" fontId="79" fillId="10" borderId="95" xfId="0" applyFont="1" applyFill="1" applyBorder="1" applyAlignment="1">
      <alignment horizontal="center" vertical="top" wrapText="1"/>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79" fillId="10" borderId="93" xfId="0" applyFont="1" applyFill="1" applyBorder="1" applyAlignment="1">
      <alignment horizontal="center" vertical="center" wrapText="1"/>
    </xf>
    <xf numFmtId="0" fontId="79" fillId="10" borderId="94" xfId="0" applyFont="1" applyFill="1" applyBorder="1" applyAlignment="1">
      <alignment horizontal="center" vertical="center" wrapText="1"/>
    </xf>
    <xf numFmtId="0" fontId="79" fillId="10" borderId="95" xfId="0" applyFont="1" applyFill="1" applyBorder="1" applyAlignment="1">
      <alignment horizontal="center" vertical="center" wrapText="1"/>
    </xf>
    <xf numFmtId="0" fontId="12" fillId="0" borderId="90" xfId="0" applyFont="1" applyBorder="1" applyAlignment="1">
      <alignment horizontal="right"/>
    </xf>
    <xf numFmtId="0" fontId="12" fillId="0" borderId="91" xfId="0" applyFont="1" applyBorder="1" applyAlignment="1">
      <alignment horizontal="right"/>
    </xf>
    <xf numFmtId="0" fontId="12" fillId="0" borderId="92" xfId="0" applyFont="1" applyBorder="1" applyAlignment="1">
      <alignment horizontal="right"/>
    </xf>
    <xf numFmtId="0" fontId="12" fillId="0" borderId="75" xfId="0" applyFont="1" applyBorder="1" applyAlignment="1">
      <alignment horizontal="right"/>
    </xf>
    <xf numFmtId="0" fontId="12" fillId="0" borderId="74" xfId="0" applyFont="1" applyBorder="1" applyAlignment="1">
      <alignment horizontal="right" vertical="center" wrapText="1"/>
    </xf>
    <xf numFmtId="0" fontId="12" fillId="0" borderId="0" xfId="0" applyFont="1" applyAlignment="1">
      <alignment horizontal="right" vertical="center" wrapText="1"/>
    </xf>
    <xf numFmtId="0" fontId="12" fillId="0" borderId="75" xfId="0" applyFont="1" applyBorder="1" applyAlignment="1">
      <alignment horizontal="right" vertical="center" wrapText="1"/>
    </xf>
    <xf numFmtId="0" fontId="79" fillId="10" borderId="93" xfId="0" applyFont="1" applyFill="1" applyBorder="1" applyAlignment="1">
      <alignment horizontal="center" vertical="top"/>
    </xf>
    <xf numFmtId="0" fontId="79" fillId="10" borderId="94" xfId="0" applyFont="1" applyFill="1" applyBorder="1" applyAlignment="1">
      <alignment horizontal="center" vertical="top"/>
    </xf>
    <xf numFmtId="0" fontId="79" fillId="10" borderId="95" xfId="0" applyFont="1" applyFill="1" applyBorder="1" applyAlignment="1">
      <alignment horizontal="center" vertical="top"/>
    </xf>
    <xf numFmtId="0" fontId="79" fillId="10" borderId="90" xfId="0" applyFont="1" applyFill="1" applyBorder="1" applyAlignment="1">
      <alignment horizontal="center" wrapText="1"/>
    </xf>
    <xf numFmtId="0" fontId="79" fillId="10" borderId="91" xfId="0" applyFont="1" applyFill="1" applyBorder="1" applyAlignment="1">
      <alignment horizontal="center" wrapText="1"/>
    </xf>
    <xf numFmtId="0" fontId="79" fillId="10" borderId="92" xfId="0" applyFont="1" applyFill="1" applyBorder="1" applyAlignment="1">
      <alignment horizontal="center" wrapText="1"/>
    </xf>
    <xf numFmtId="0" fontId="79" fillId="10" borderId="74" xfId="0" applyFont="1" applyFill="1" applyBorder="1" applyAlignment="1">
      <alignment horizontal="center" wrapText="1"/>
    </xf>
    <xf numFmtId="0" fontId="12" fillId="0" borderId="93" xfId="0" applyFont="1" applyBorder="1" applyAlignment="1">
      <alignment horizontal="left"/>
    </xf>
    <xf numFmtId="0" fontId="12" fillId="0" borderId="94" xfId="0" applyFont="1" applyBorder="1" applyAlignment="1">
      <alignment horizontal="left"/>
    </xf>
    <xf numFmtId="0" fontId="12" fillId="0" borderId="95" xfId="0" applyFont="1" applyBorder="1" applyAlignment="1">
      <alignment horizontal="left"/>
    </xf>
    <xf numFmtId="0" fontId="3" fillId="0" borderId="92" xfId="0" applyFont="1" applyBorder="1" applyAlignment="1">
      <alignment horizontal="right"/>
    </xf>
    <xf numFmtId="0" fontId="80" fillId="0" borderId="74" xfId="0" applyFont="1" applyBorder="1" applyAlignment="1">
      <alignment horizontal="right"/>
    </xf>
    <xf numFmtId="0" fontId="80" fillId="0" borderId="0" xfId="0" applyFont="1" applyAlignment="1">
      <alignment horizontal="right"/>
    </xf>
    <xf numFmtId="0" fontId="80" fillId="0" borderId="75" xfId="0" applyFont="1" applyBorder="1" applyAlignment="1">
      <alignment horizontal="right"/>
    </xf>
    <xf numFmtId="0" fontId="6" fillId="0" borderId="90" xfId="0" applyFont="1" applyBorder="1" applyAlignment="1">
      <alignment horizontal="center"/>
    </xf>
    <xf numFmtId="0" fontId="6" fillId="0" borderId="91" xfId="0" applyFont="1" applyBorder="1" applyAlignment="1">
      <alignment horizontal="center"/>
    </xf>
    <xf numFmtId="0" fontId="6" fillId="0" borderId="92" xfId="0" applyFont="1" applyBorder="1" applyAlignment="1">
      <alignment horizontal="center"/>
    </xf>
    <xf numFmtId="0" fontId="10" fillId="3" borderId="87" xfId="0" applyFont="1" applyFill="1" applyBorder="1" applyAlignment="1">
      <alignment horizontal="left"/>
    </xf>
    <xf numFmtId="0" fontId="10" fillId="3" borderId="88" xfId="0" applyFont="1" applyFill="1" applyBorder="1" applyAlignment="1">
      <alignment horizontal="left"/>
    </xf>
    <xf numFmtId="0" fontId="10" fillId="3" borderId="89" xfId="0" applyFont="1" applyFill="1" applyBorder="1" applyAlignment="1">
      <alignment horizontal="left"/>
    </xf>
    <xf numFmtId="0" fontId="79" fillId="10" borderId="87" xfId="0" applyFont="1" applyFill="1" applyBorder="1" applyAlignment="1">
      <alignment horizontal="center" wrapText="1"/>
    </xf>
    <xf numFmtId="0" fontId="79" fillId="10" borderId="88" xfId="0" applyFont="1" applyFill="1" applyBorder="1" applyAlignment="1">
      <alignment horizontal="center" wrapText="1"/>
    </xf>
    <xf numFmtId="0" fontId="79" fillId="10" borderId="89" xfId="0" applyFont="1" applyFill="1" applyBorder="1" applyAlignment="1">
      <alignment horizontal="center" wrapText="1"/>
    </xf>
    <xf numFmtId="0" fontId="79" fillId="10" borderId="87" xfId="0" applyFont="1" applyFill="1" applyBorder="1" applyAlignment="1">
      <alignment horizontal="center"/>
    </xf>
    <xf numFmtId="0" fontId="79" fillId="10" borderId="88" xfId="0" applyFont="1" applyFill="1" applyBorder="1" applyAlignment="1">
      <alignment horizontal="center"/>
    </xf>
    <xf numFmtId="0" fontId="79" fillId="10" borderId="89" xfId="0" applyFont="1" applyFill="1" applyBorder="1" applyAlignment="1">
      <alignment horizontal="center"/>
    </xf>
    <xf numFmtId="2" fontId="79" fillId="10" borderId="87" xfId="0" applyNumberFormat="1" applyFont="1" applyFill="1" applyBorder="1" applyAlignment="1">
      <alignment horizontal="center" wrapText="1"/>
    </xf>
    <xf numFmtId="2" fontId="79" fillId="10" borderId="88" xfId="0" applyNumberFormat="1" applyFont="1" applyFill="1" applyBorder="1" applyAlignment="1">
      <alignment horizontal="center" wrapText="1"/>
    </xf>
    <xf numFmtId="2" fontId="79" fillId="10" borderId="89" xfId="0" applyNumberFormat="1" applyFont="1" applyFill="1" applyBorder="1" applyAlignment="1">
      <alignment horizontal="center" wrapText="1"/>
    </xf>
    <xf numFmtId="0" fontId="3" fillId="0" borderId="0" xfId="0" applyFont="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12" fillId="0" borderId="93" xfId="0" applyFont="1" applyBorder="1" applyAlignment="1">
      <alignment horizontal="right" vertical="center"/>
    </xf>
    <xf numFmtId="0" fontId="12" fillId="0" borderId="94" xfId="0" applyFont="1" applyBorder="1" applyAlignment="1">
      <alignment horizontal="right" vertical="center"/>
    </xf>
    <xf numFmtId="0" fontId="62" fillId="4" borderId="37" xfId="0" applyFont="1" applyFill="1" applyBorder="1" applyAlignment="1">
      <alignment horizontal="left"/>
    </xf>
    <xf numFmtId="0" fontId="62" fillId="4" borderId="4" xfId="0" applyFont="1" applyFill="1" applyBorder="1" applyAlignment="1">
      <alignment horizontal="left"/>
    </xf>
    <xf numFmtId="0" fontId="62" fillId="4" borderId="36" xfId="0" applyFont="1" applyFill="1" applyBorder="1" applyAlignment="1">
      <alignment horizontal="left"/>
    </xf>
    <xf numFmtId="0" fontId="4" fillId="4" borderId="65" xfId="0" applyFont="1" applyFill="1" applyBorder="1" applyAlignment="1">
      <alignment horizontal="left"/>
    </xf>
    <xf numFmtId="0" fontId="4" fillId="4" borderId="18" xfId="0" applyFont="1" applyFill="1" applyBorder="1" applyAlignment="1">
      <alignment horizontal="left"/>
    </xf>
    <xf numFmtId="0" fontId="74" fillId="0" borderId="93" xfId="0" applyFont="1" applyBorder="1" applyAlignment="1">
      <alignment horizontal="left"/>
    </xf>
    <xf numFmtId="0" fontId="74" fillId="0" borderId="94" xfId="0" applyFont="1" applyBorder="1" applyAlignment="1">
      <alignment horizontal="left"/>
    </xf>
    <xf numFmtId="0" fontId="74" fillId="0" borderId="95" xfId="0" applyFont="1" applyBorder="1" applyAlignment="1">
      <alignment horizontal="left"/>
    </xf>
    <xf numFmtId="0" fontId="3" fillId="0" borderId="74" xfId="0" applyFont="1" applyBorder="1" applyAlignment="1">
      <alignment horizontal="right" vertical="center" wrapText="1"/>
    </xf>
    <xf numFmtId="0" fontId="3" fillId="0" borderId="0" xfId="0" applyFont="1" applyAlignment="1">
      <alignment horizontal="right" vertical="center" wrapText="1"/>
    </xf>
    <xf numFmtId="14" fontId="3" fillId="0" borderId="0" xfId="0" applyNumberFormat="1" applyFont="1" applyAlignment="1" applyProtection="1">
      <alignment horizontal="center" vertical="center"/>
      <protection locked="0"/>
    </xf>
    <xf numFmtId="0" fontId="77" fillId="0" borderId="0" xfId="0" applyFont="1" applyAlignment="1">
      <alignment horizontal="center" vertical="center"/>
    </xf>
    <xf numFmtId="14" fontId="3" fillId="0" borderId="75" xfId="0" applyNumberFormat="1" applyFont="1" applyBorder="1" applyAlignment="1" applyProtection="1">
      <alignment horizontal="center" vertical="center"/>
      <protection locked="0"/>
    </xf>
    <xf numFmtId="0" fontId="12" fillId="0" borderId="0" xfId="0" applyFont="1" applyAlignment="1">
      <alignment horizontal="center" vertical="center"/>
    </xf>
    <xf numFmtId="14" fontId="3" fillId="0" borderId="0" xfId="0" applyNumberFormat="1" applyFont="1" applyAlignment="1">
      <alignment horizontal="right" vertical="center"/>
    </xf>
    <xf numFmtId="0" fontId="31" fillId="4" borderId="0" xfId="0" applyFont="1" applyFill="1" applyAlignment="1" applyProtection="1">
      <alignment horizontal="center" vertical="center"/>
      <protection locked="0"/>
    </xf>
    <xf numFmtId="0" fontId="0" fillId="4" borderId="28" xfId="0" applyFill="1" applyBorder="1" applyAlignment="1">
      <alignment horizontal="center"/>
    </xf>
    <xf numFmtId="0" fontId="1" fillId="12" borderId="4" xfId="0" applyFont="1" applyFill="1" applyBorder="1" applyAlignment="1">
      <alignment horizontal="right"/>
    </xf>
    <xf numFmtId="0" fontId="0" fillId="29" borderId="4" xfId="0" applyFill="1" applyBorder="1" applyAlignment="1" applyProtection="1">
      <alignment horizontal="center"/>
      <protection locked="0"/>
    </xf>
    <xf numFmtId="0" fontId="1" fillId="12" borderId="4" xfId="0" applyFont="1" applyFill="1" applyBorder="1" applyAlignment="1">
      <alignment horizontal="center"/>
    </xf>
    <xf numFmtId="0" fontId="0" fillId="29" borderId="24" xfId="0" applyFill="1" applyBorder="1" applyAlignment="1" applyProtection="1">
      <alignment horizontal="center"/>
      <protection locked="0"/>
    </xf>
    <xf numFmtId="0" fontId="31" fillId="4" borderId="5" xfId="0" applyFont="1" applyFill="1" applyBorder="1" applyAlignment="1">
      <alignment horizontal="right" vertical="center"/>
    </xf>
    <xf numFmtId="176" fontId="22" fillId="4" borderId="0" xfId="0" applyNumberFormat="1" applyFont="1" applyFill="1" applyAlignment="1" applyProtection="1">
      <alignment horizontal="center" vertical="center"/>
      <protection locked="0"/>
    </xf>
    <xf numFmtId="0" fontId="31" fillId="21" borderId="138" xfId="0" applyFont="1" applyFill="1" applyBorder="1" applyAlignment="1">
      <alignment horizontal="center"/>
    </xf>
    <xf numFmtId="0" fontId="31" fillId="21" borderId="127" xfId="0" applyFont="1" applyFill="1" applyBorder="1" applyAlignment="1">
      <alignment horizontal="center"/>
    </xf>
    <xf numFmtId="0" fontId="22" fillId="21" borderId="127" xfId="0" applyFont="1" applyFill="1" applyBorder="1" applyAlignment="1">
      <alignment horizontal="left"/>
    </xf>
    <xf numFmtId="0" fontId="22" fillId="21" borderId="127" xfId="0" applyFont="1" applyFill="1" applyBorder="1" applyAlignment="1">
      <alignment horizontal="center" wrapText="1"/>
    </xf>
    <xf numFmtId="0" fontId="22" fillId="21" borderId="127" xfId="0" applyFont="1" applyFill="1" applyBorder="1" applyAlignment="1">
      <alignment horizontal="center"/>
    </xf>
    <xf numFmtId="0" fontId="22" fillId="21" borderId="132" xfId="0" applyFont="1" applyFill="1" applyBorder="1" applyAlignment="1">
      <alignment horizontal="center"/>
    </xf>
    <xf numFmtId="0" fontId="31" fillId="29" borderId="138" xfId="0" applyFont="1" applyFill="1" applyBorder="1" applyAlignment="1">
      <alignment horizontal="left"/>
    </xf>
    <xf numFmtId="0" fontId="31" fillId="29" borderId="127" xfId="0" applyFont="1" applyFill="1" applyBorder="1" applyAlignment="1">
      <alignment horizontal="left"/>
    </xf>
    <xf numFmtId="0" fontId="31" fillId="16" borderId="127" xfId="0" applyFont="1" applyFill="1" applyBorder="1" applyAlignment="1">
      <alignment horizontal="left" vertical="center"/>
    </xf>
    <xf numFmtId="0" fontId="31" fillId="4" borderId="127" xfId="0" applyFont="1" applyFill="1" applyBorder="1" applyAlignment="1" applyProtection="1">
      <alignment horizontal="center"/>
      <protection locked="0"/>
    </xf>
    <xf numFmtId="0" fontId="31" fillId="4" borderId="126" xfId="0" applyFont="1" applyFill="1" applyBorder="1" applyAlignment="1" applyProtection="1">
      <alignment horizontal="center"/>
      <protection locked="0"/>
    </xf>
    <xf numFmtId="0" fontId="31" fillId="4" borderId="128" xfId="0" applyFont="1" applyFill="1" applyBorder="1" applyAlignment="1" applyProtection="1">
      <alignment horizontal="center"/>
      <protection locked="0"/>
    </xf>
    <xf numFmtId="0" fontId="31" fillId="4" borderId="129" xfId="0" applyFont="1" applyFill="1" applyBorder="1" applyAlignment="1" applyProtection="1">
      <alignment horizontal="center"/>
      <protection locked="0"/>
    </xf>
    <xf numFmtId="0" fontId="31" fillId="4" borderId="130" xfId="0" applyFont="1" applyFill="1" applyBorder="1" applyAlignment="1" applyProtection="1">
      <alignment horizontal="center"/>
      <protection locked="0"/>
    </xf>
    <xf numFmtId="0" fontId="31" fillId="4" borderId="0" xfId="0" applyFont="1" applyFill="1" applyAlignment="1" applyProtection="1">
      <alignment horizontal="center"/>
      <protection locked="0"/>
    </xf>
    <xf numFmtId="0" fontId="31" fillId="4" borderId="6" xfId="0" applyFont="1" applyFill="1" applyBorder="1" applyAlignment="1" applyProtection="1">
      <alignment horizontal="center"/>
      <protection locked="0"/>
    </xf>
    <xf numFmtId="0" fontId="31" fillId="4" borderId="133" xfId="0" applyFont="1" applyFill="1" applyBorder="1" applyAlignment="1" applyProtection="1">
      <alignment horizontal="center"/>
      <protection locked="0"/>
    </xf>
    <xf numFmtId="0" fontId="31" fillId="29" borderId="5" xfId="0" applyFont="1" applyFill="1" applyBorder="1" applyAlignment="1">
      <alignment horizontal="left"/>
    </xf>
    <xf numFmtId="0" fontId="31" fillId="29" borderId="0" xfId="0" applyFont="1" applyFill="1" applyAlignment="1">
      <alignment horizontal="left"/>
    </xf>
    <xf numFmtId="0" fontId="31" fillId="16" borderId="0" xfId="0" applyFont="1" applyFill="1" applyAlignment="1">
      <alignment horizontal="left" vertical="center"/>
    </xf>
    <xf numFmtId="0" fontId="31" fillId="4" borderId="18" xfId="0" applyFont="1" applyFill="1" applyBorder="1" applyAlignment="1" applyProtection="1">
      <alignment horizontal="center"/>
      <protection locked="0"/>
    </xf>
    <xf numFmtId="0" fontId="31" fillId="30" borderId="5" xfId="0" applyFont="1" applyFill="1" applyBorder="1" applyAlignment="1">
      <alignment horizontal="left"/>
    </xf>
    <xf numFmtId="0" fontId="31" fillId="30" borderId="0" xfId="0" applyFont="1" applyFill="1" applyAlignment="1">
      <alignment horizontal="left"/>
    </xf>
    <xf numFmtId="0" fontId="31" fillId="0" borderId="0" xfId="0" applyFont="1" applyAlignment="1" applyProtection="1">
      <alignment horizontal="center"/>
      <protection locked="0"/>
    </xf>
    <xf numFmtId="0" fontId="31" fillId="0" borderId="18"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22" fillId="21" borderId="132" xfId="0" applyFont="1" applyFill="1" applyBorder="1" applyAlignment="1">
      <alignment horizontal="left"/>
    </xf>
    <xf numFmtId="0" fontId="31" fillId="30" borderId="138" xfId="0" applyFont="1" applyFill="1" applyBorder="1" applyAlignment="1">
      <alignment horizontal="left"/>
    </xf>
    <xf numFmtId="0" fontId="31" fillId="30" borderId="127" xfId="0" applyFont="1" applyFill="1" applyBorder="1" applyAlignment="1">
      <alignment horizontal="left"/>
    </xf>
    <xf numFmtId="0" fontId="31" fillId="0" borderId="127" xfId="0" applyFont="1" applyBorder="1" applyAlignment="1" applyProtection="1">
      <alignment horizontal="center"/>
      <protection locked="0"/>
    </xf>
    <xf numFmtId="0" fontId="31" fillId="0" borderId="126" xfId="0" applyFont="1" applyBorder="1" applyAlignment="1" applyProtection="1">
      <alignment horizontal="center"/>
      <protection locked="0"/>
    </xf>
    <xf numFmtId="0" fontId="31" fillId="0" borderId="131" xfId="0" applyFont="1" applyBorder="1" applyAlignment="1" applyProtection="1">
      <alignment horizontal="center"/>
      <protection locked="0"/>
    </xf>
    <xf numFmtId="0" fontId="31" fillId="0" borderId="132" xfId="0" applyFont="1" applyBorder="1" applyAlignment="1" applyProtection="1">
      <alignment horizontal="center"/>
      <protection locked="0"/>
    </xf>
    <xf numFmtId="0" fontId="1" fillId="12" borderId="5" xfId="0" applyFont="1" applyFill="1" applyBorder="1" applyAlignment="1">
      <alignment horizontal="left"/>
    </xf>
    <xf numFmtId="0" fontId="1" fillId="12" borderId="0" xfId="0" applyFont="1" applyFill="1" applyAlignment="1">
      <alignment horizontal="left"/>
    </xf>
    <xf numFmtId="0" fontId="1" fillId="12" borderId="127" xfId="0" applyFont="1" applyFill="1" applyBorder="1" applyAlignment="1">
      <alignment horizontal="center"/>
    </xf>
    <xf numFmtId="0" fontId="1" fillId="12" borderId="132" xfId="0" applyFont="1" applyFill="1" applyBorder="1" applyAlignment="1">
      <alignment horizontal="center"/>
    </xf>
    <xf numFmtId="0" fontId="1" fillId="6" borderId="127" xfId="0" applyFont="1" applyFill="1" applyBorder="1" applyAlignment="1">
      <alignment horizontal="left" vertical="center"/>
    </xf>
    <xf numFmtId="0" fontId="31" fillId="32" borderId="129" xfId="0" applyFont="1" applyFill="1" applyBorder="1" applyAlignment="1" applyProtection="1">
      <alignment horizontal="center"/>
      <protection locked="0"/>
    </xf>
    <xf numFmtId="0" fontId="31" fillId="32" borderId="133" xfId="0" applyFont="1" applyFill="1" applyBorder="1" applyAlignment="1" applyProtection="1">
      <alignment horizontal="center"/>
      <protection locked="0"/>
    </xf>
    <xf numFmtId="0" fontId="31" fillId="31" borderId="128" xfId="0" applyFont="1" applyFill="1" applyBorder="1" applyAlignment="1" applyProtection="1">
      <alignment horizontal="center"/>
      <protection locked="0"/>
    </xf>
    <xf numFmtId="0" fontId="31" fillId="31" borderId="129" xfId="0" applyFont="1" applyFill="1" applyBorder="1" applyAlignment="1" applyProtection="1">
      <alignment horizontal="center"/>
      <protection locked="0"/>
    </xf>
    <xf numFmtId="0" fontId="31" fillId="32" borderId="130" xfId="0" applyFont="1" applyFill="1" applyBorder="1" applyAlignment="1" applyProtection="1">
      <alignment horizontal="center"/>
      <protection locked="0"/>
    </xf>
    <xf numFmtId="0" fontId="1" fillId="6" borderId="0" xfId="0" applyFont="1" applyFill="1" applyAlignment="1">
      <alignment horizontal="left" vertical="center"/>
    </xf>
    <xf numFmtId="0" fontId="31" fillId="32" borderId="128" xfId="0" applyFont="1" applyFill="1" applyBorder="1" applyAlignment="1" applyProtection="1">
      <alignment horizontal="center"/>
      <protection locked="0"/>
    </xf>
    <xf numFmtId="0" fontId="31" fillId="21" borderId="138" xfId="0" applyFont="1" applyFill="1" applyBorder="1" applyAlignment="1">
      <alignment horizontal="left"/>
    </xf>
    <xf numFmtId="0" fontId="31" fillId="21" borderId="127" xfId="0" applyFont="1" applyFill="1" applyBorder="1" applyAlignment="1">
      <alignment horizontal="left"/>
    </xf>
    <xf numFmtId="0" fontId="31" fillId="0" borderId="129" xfId="0" applyFont="1" applyBorder="1" applyAlignment="1" applyProtection="1">
      <alignment horizontal="center"/>
      <protection locked="0"/>
    </xf>
    <xf numFmtId="0" fontId="31" fillId="0" borderId="130" xfId="0" applyFont="1" applyBorder="1" applyAlignment="1" applyProtection="1">
      <alignment horizontal="center"/>
      <protection locked="0"/>
    </xf>
    <xf numFmtId="0" fontId="31" fillId="32" borderId="135" xfId="0" applyFont="1" applyFill="1" applyBorder="1" applyAlignment="1">
      <alignment horizontal="center"/>
    </xf>
    <xf numFmtId="0" fontId="31" fillId="0" borderId="128" xfId="0" applyFont="1" applyBorder="1" applyAlignment="1" applyProtection="1">
      <alignment horizontal="center"/>
      <protection locked="0"/>
    </xf>
    <xf numFmtId="0" fontId="31" fillId="0" borderId="134" xfId="0" applyFont="1" applyBorder="1" applyAlignment="1" applyProtection="1">
      <alignment horizontal="center"/>
      <protection locked="0"/>
    </xf>
    <xf numFmtId="0" fontId="31" fillId="0" borderId="135" xfId="0" applyFont="1" applyBorder="1" applyAlignment="1" applyProtection="1">
      <alignment horizontal="center"/>
      <protection locked="0"/>
    </xf>
    <xf numFmtId="0" fontId="31" fillId="0" borderId="137" xfId="0" applyFont="1" applyBorder="1" applyAlignment="1" applyProtection="1">
      <alignment horizontal="center"/>
      <protection locked="0"/>
    </xf>
    <xf numFmtId="0" fontId="31" fillId="0" borderId="136" xfId="0" applyFont="1" applyBorder="1" applyAlignment="1" applyProtection="1">
      <alignment horizontal="center"/>
      <protection locked="0"/>
    </xf>
    <xf numFmtId="0" fontId="31" fillId="32" borderId="129" xfId="0" applyFont="1" applyFill="1" applyBorder="1" applyAlignment="1">
      <alignment horizontal="center"/>
    </xf>
    <xf numFmtId="0" fontId="0" fillId="21" borderId="138" xfId="0" applyFill="1" applyBorder="1" applyAlignment="1">
      <alignment horizontal="left"/>
    </xf>
    <xf numFmtId="0" fontId="0" fillId="21" borderId="127" xfId="0" applyFill="1" applyBorder="1" applyAlignment="1">
      <alignment horizontal="left"/>
    </xf>
    <xf numFmtId="0" fontId="31" fillId="0" borderId="133" xfId="0" applyFont="1" applyBorder="1" applyAlignment="1" applyProtection="1">
      <alignment horizontal="center"/>
      <protection locked="0"/>
    </xf>
    <xf numFmtId="0" fontId="31" fillId="32" borderId="127" xfId="0" applyFont="1" applyFill="1" applyBorder="1" applyAlignment="1">
      <alignment horizontal="center"/>
    </xf>
    <xf numFmtId="0" fontId="31" fillId="32" borderId="0" xfId="0" applyFont="1" applyFill="1" applyAlignment="1">
      <alignment horizontal="center"/>
    </xf>
    <xf numFmtId="0" fontId="22" fillId="21" borderId="0" xfId="0" applyFont="1" applyFill="1" applyAlignment="1">
      <alignment horizontal="left"/>
    </xf>
    <xf numFmtId="0" fontId="31" fillId="16" borderId="129" xfId="0" applyFont="1" applyFill="1" applyBorder="1" applyAlignment="1">
      <alignment horizontal="left"/>
    </xf>
    <xf numFmtId="0" fontId="31" fillId="16" borderId="0" xfId="0" applyFont="1" applyFill="1" applyAlignment="1">
      <alignment horizontal="left"/>
    </xf>
    <xf numFmtId="0" fontId="22" fillId="21" borderId="127" xfId="0" applyFont="1" applyFill="1" applyBorder="1" applyAlignment="1">
      <alignment horizontal="left" wrapText="1"/>
    </xf>
    <xf numFmtId="0" fontId="22" fillId="21" borderId="0" xfId="0" applyFont="1" applyFill="1" applyAlignment="1">
      <alignment horizontal="center" wrapText="1"/>
    </xf>
    <xf numFmtId="0" fontId="31" fillId="17" borderId="127" xfId="0" applyFont="1" applyFill="1" applyBorder="1" applyAlignment="1" applyProtection="1">
      <alignment horizontal="left" vertical="center"/>
      <protection locked="0"/>
    </xf>
    <xf numFmtId="0" fontId="31" fillId="4" borderId="127" xfId="0" applyFont="1" applyFill="1" applyBorder="1" applyAlignment="1" applyProtection="1">
      <alignment horizontal="left" vertical="center"/>
      <protection locked="0"/>
    </xf>
    <xf numFmtId="0" fontId="31" fillId="17" borderId="127" xfId="0" applyFont="1" applyFill="1" applyBorder="1" applyAlignment="1" applyProtection="1">
      <alignment horizontal="center" vertical="center"/>
      <protection locked="0"/>
    </xf>
    <xf numFmtId="0" fontId="31" fillId="4" borderId="8" xfId="0" applyFont="1" applyFill="1" applyBorder="1" applyAlignment="1" applyProtection="1">
      <alignment horizontal="center" vertical="center"/>
      <protection locked="0"/>
    </xf>
    <xf numFmtId="0" fontId="31" fillId="0" borderId="8" xfId="0" applyFont="1" applyBorder="1" applyAlignment="1" applyProtection="1">
      <alignment horizontal="center"/>
      <protection locked="0"/>
    </xf>
    <xf numFmtId="0" fontId="31" fillId="0" borderId="125"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32" borderId="147" xfId="0" applyFont="1" applyFill="1" applyBorder="1" applyAlignment="1">
      <alignment horizontal="center"/>
    </xf>
    <xf numFmtId="0" fontId="31" fillId="4" borderId="7" xfId="0" applyFont="1" applyFill="1" applyBorder="1" applyAlignment="1">
      <alignment horizontal="right" vertical="center"/>
    </xf>
    <xf numFmtId="0" fontId="31" fillId="4" borderId="8" xfId="0" applyFont="1" applyFill="1" applyBorder="1" applyAlignment="1">
      <alignment horizontal="right" vertical="center"/>
    </xf>
    <xf numFmtId="2" fontId="31" fillId="4" borderId="8" xfId="0" applyNumberFormat="1" applyFont="1" applyFill="1" applyBorder="1" applyAlignment="1" applyProtection="1">
      <alignment horizontal="center" vertical="center"/>
      <protection locked="0"/>
    </xf>
    <xf numFmtId="0" fontId="31" fillId="4" borderId="5" xfId="0" applyFont="1" applyFill="1" applyBorder="1" applyAlignment="1">
      <alignment horizontal="left"/>
    </xf>
    <xf numFmtId="0" fontId="31" fillId="4" borderId="0" xfId="0" applyFont="1" applyFill="1" applyAlignment="1">
      <alignment horizontal="left"/>
    </xf>
    <xf numFmtId="8" fontId="106" fillId="4" borderId="0" xfId="7" applyNumberFormat="1" applyFont="1" applyFill="1" applyBorder="1" applyAlignment="1" applyProtection="1">
      <alignment horizontal="center"/>
    </xf>
    <xf numFmtId="0" fontId="31" fillId="4" borderId="6" xfId="0" applyFont="1" applyFill="1" applyBorder="1" applyAlignment="1">
      <alignment horizontal="center"/>
    </xf>
    <xf numFmtId="0" fontId="56" fillId="0" borderId="39" xfId="12" applyFont="1" applyBorder="1" applyAlignment="1">
      <alignment horizontal="center" vertical="center"/>
    </xf>
    <xf numFmtId="0" fontId="56" fillId="0" borderId="20" xfId="12" applyFont="1" applyBorder="1" applyAlignment="1">
      <alignment horizontal="center" vertical="center"/>
    </xf>
    <xf numFmtId="14" fontId="44" fillId="0" borderId="20" xfId="12" applyNumberFormat="1" applyFont="1" applyBorder="1" applyAlignment="1" applyProtection="1">
      <alignment horizontal="center" vertical="center" wrapText="1"/>
      <protection locked="0"/>
    </xf>
    <xf numFmtId="14" fontId="44" fillId="0" borderId="20" xfId="12" applyNumberFormat="1" applyFont="1" applyBorder="1" applyAlignment="1">
      <alignment horizontal="center" vertical="center" wrapText="1"/>
    </xf>
    <xf numFmtId="14" fontId="44" fillId="0" borderId="120" xfId="12" applyNumberFormat="1" applyFont="1" applyBorder="1" applyAlignment="1" applyProtection="1">
      <alignment horizontal="center" vertical="center" wrapText="1"/>
      <protection locked="0"/>
    </xf>
    <xf numFmtId="0" fontId="21" fillId="3" borderId="27"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32" xfId="12" applyFont="1" applyFill="1" applyBorder="1" applyAlignment="1">
      <alignment horizontal="left" vertical="center" wrapText="1"/>
    </xf>
    <xf numFmtId="0" fontId="74" fillId="0" borderId="122" xfId="0" applyFont="1" applyBorder="1" applyAlignment="1">
      <alignment horizontal="left" vertical="center" wrapText="1"/>
    </xf>
    <xf numFmtId="0" fontId="74" fillId="0" borderId="72" xfId="0" applyFont="1" applyBorder="1" applyAlignment="1">
      <alignment horizontal="left" vertical="center" wrapText="1"/>
    </xf>
    <xf numFmtId="0" fontId="74" fillId="0" borderId="73" xfId="0" applyFont="1" applyBorder="1" applyAlignment="1">
      <alignment horizontal="left" vertical="center" wrapText="1"/>
    </xf>
    <xf numFmtId="14" fontId="111" fillId="0" borderId="14" xfId="12" applyNumberFormat="1" applyFont="1" applyBorder="1" applyAlignment="1">
      <alignment horizontal="left" vertical="center" wrapText="1"/>
    </xf>
    <xf numFmtId="14" fontId="111" fillId="0" borderId="10" xfId="12" applyNumberFormat="1" applyFont="1" applyBorder="1" applyAlignment="1">
      <alignment horizontal="left" vertical="center" wrapText="1"/>
    </xf>
    <xf numFmtId="14" fontId="111" fillId="0" borderId="15" xfId="12" applyNumberFormat="1" applyFont="1" applyBorder="1" applyAlignment="1">
      <alignment horizontal="left" vertical="center" wrapText="1"/>
    </xf>
    <xf numFmtId="0" fontId="44" fillId="0" borderId="16" xfId="12" applyFont="1" applyBorder="1" applyAlignment="1">
      <alignment horizontal="right" vertical="center" wrapText="1"/>
    </xf>
    <xf numFmtId="0" fontId="44" fillId="0" borderId="17" xfId="12" applyFont="1" applyBorder="1" applyAlignment="1">
      <alignment horizontal="right" vertical="center" wrapText="1"/>
    </xf>
    <xf numFmtId="14" fontId="44" fillId="0" borderId="17" xfId="12" applyNumberFormat="1" applyFont="1" applyBorder="1" applyAlignment="1" applyProtection="1">
      <alignment horizontal="center" vertical="center" wrapText="1"/>
      <protection locked="0"/>
    </xf>
    <xf numFmtId="14" fontId="44" fillId="0" borderId="17" xfId="12" applyNumberFormat="1" applyFont="1" applyBorder="1" applyAlignment="1">
      <alignment horizontal="left" vertical="center" wrapText="1" indent="1"/>
    </xf>
    <xf numFmtId="14" fontId="44" fillId="0" borderId="17" xfId="12" applyNumberFormat="1" applyFont="1" applyBorder="1" applyAlignment="1">
      <alignment horizontal="center" vertical="center" wrapText="1"/>
    </xf>
    <xf numFmtId="14" fontId="44" fillId="0" borderId="22" xfId="12" applyNumberFormat="1" applyFont="1" applyBorder="1" applyAlignment="1" applyProtection="1">
      <alignment horizontal="center" vertical="center" wrapText="1"/>
      <protection locked="0"/>
    </xf>
    <xf numFmtId="8" fontId="107" fillId="4" borderId="8" xfId="7" applyNumberFormat="1" applyFont="1" applyFill="1" applyBorder="1" applyAlignment="1" applyProtection="1">
      <alignment horizontal="center"/>
    </xf>
    <xf numFmtId="8" fontId="107" fillId="4" borderId="9" xfId="7" applyNumberFormat="1" applyFont="1" applyFill="1" applyBorder="1" applyAlignment="1" applyProtection="1">
      <alignment horizontal="center"/>
    </xf>
    <xf numFmtId="0" fontId="22" fillId="4" borderId="7" xfId="0" applyFont="1" applyFill="1" applyBorder="1" applyAlignment="1">
      <alignment horizontal="left"/>
    </xf>
    <xf numFmtId="0" fontId="22" fillId="4" borderId="8" xfId="0" applyFont="1" applyFill="1" applyBorder="1" applyAlignment="1">
      <alignment horizontal="left"/>
    </xf>
    <xf numFmtId="8" fontId="106" fillId="4" borderId="8" xfId="7" applyNumberFormat="1" applyFont="1" applyFill="1" applyBorder="1" applyAlignment="1" applyProtection="1">
      <alignment horizontal="center"/>
    </xf>
    <xf numFmtId="0" fontId="31" fillId="4" borderId="8" xfId="0" applyFont="1" applyFill="1" applyBorder="1" applyAlignment="1">
      <alignment horizontal="center"/>
    </xf>
    <xf numFmtId="8" fontId="106" fillId="4" borderId="9" xfId="7" applyNumberFormat="1" applyFont="1" applyFill="1" applyBorder="1" applyAlignment="1" applyProtection="1">
      <alignment horizontal="center"/>
    </xf>
    <xf numFmtId="8" fontId="106" fillId="4" borderId="121" xfId="7" applyNumberFormat="1" applyFont="1" applyFill="1" applyBorder="1" applyAlignment="1" applyProtection="1">
      <alignment horizontal="center"/>
    </xf>
    <xf numFmtId="8" fontId="106" fillId="4" borderId="7" xfId="7" applyNumberFormat="1" applyFont="1" applyFill="1" applyBorder="1" applyAlignment="1" applyProtection="1">
      <alignment horizontal="center"/>
    </xf>
    <xf numFmtId="8" fontId="108" fillId="4" borderId="76" xfId="8" applyNumberFormat="1" applyFont="1" applyFill="1" applyBorder="1" applyAlignment="1" applyProtection="1">
      <alignment horizontal="center"/>
    </xf>
    <xf numFmtId="0" fontId="44" fillId="12" borderId="5" xfId="12" applyFont="1" applyFill="1" applyBorder="1" applyAlignment="1">
      <alignment horizontal="left" vertical="center" wrapText="1"/>
    </xf>
    <xf numFmtId="0" fontId="44" fillId="12" borderId="0" xfId="12" applyFont="1" applyFill="1" applyAlignment="1">
      <alignment horizontal="left" vertical="center" wrapText="1"/>
    </xf>
    <xf numFmtId="0" fontId="44" fillId="12" borderId="6" xfId="12" applyFont="1" applyFill="1" applyBorder="1" applyAlignment="1">
      <alignment horizontal="left" vertical="center" wrapText="1"/>
    </xf>
    <xf numFmtId="2" fontId="3" fillId="4" borderId="0" xfId="0" applyNumberFormat="1" applyFont="1" applyFill="1" applyAlignment="1">
      <alignment horizontal="right" vertical="center"/>
    </xf>
    <xf numFmtId="3" fontId="31" fillId="4" borderId="0" xfId="0" applyNumberFormat="1" applyFont="1" applyFill="1" applyAlignment="1" applyProtection="1">
      <alignment horizontal="center" vertical="center" wrapText="1"/>
      <protection locked="0"/>
    </xf>
    <xf numFmtId="3" fontId="31" fillId="4" borderId="0" xfId="0" applyNumberFormat="1" applyFont="1" applyFill="1" applyAlignment="1">
      <alignment horizontal="center" vertical="center" wrapText="1"/>
    </xf>
    <xf numFmtId="3" fontId="31" fillId="4" borderId="9" xfId="0" applyNumberFormat="1" applyFont="1" applyFill="1" applyBorder="1" applyAlignment="1">
      <alignment horizontal="center" vertical="center" wrapText="1"/>
    </xf>
    <xf numFmtId="173" fontId="31" fillId="4" borderId="10" xfId="0" applyNumberFormat="1" applyFont="1" applyFill="1" applyBorder="1" applyAlignment="1">
      <alignment horizontal="center" vertical="center"/>
    </xf>
    <xf numFmtId="173" fontId="31" fillId="4" borderId="15" xfId="0" applyNumberFormat="1" applyFont="1" applyFill="1" applyBorder="1" applyAlignment="1">
      <alignment horizontal="center" vertical="center"/>
    </xf>
    <xf numFmtId="0" fontId="31" fillId="4" borderId="34" xfId="0" applyFont="1" applyFill="1" applyBorder="1" applyAlignment="1">
      <alignment horizontal="center" vertical="center"/>
    </xf>
    <xf numFmtId="0" fontId="31" fillId="4" borderId="17" xfId="0" applyFont="1" applyFill="1" applyBorder="1" applyAlignment="1" applyProtection="1">
      <alignment horizontal="center" vertical="center"/>
      <protection locked="0"/>
    </xf>
    <xf numFmtId="0" fontId="31" fillId="4" borderId="17" xfId="0" applyFont="1" applyFill="1" applyBorder="1" applyAlignment="1">
      <alignment horizontal="right" vertical="center"/>
    </xf>
    <xf numFmtId="0" fontId="31" fillId="4" borderId="20" xfId="0" applyFont="1" applyFill="1" applyBorder="1" applyAlignment="1">
      <alignment horizontal="center" vertical="center"/>
    </xf>
    <xf numFmtId="0" fontId="31" fillId="4" borderId="120" xfId="0" applyFont="1" applyFill="1" applyBorder="1" applyAlignment="1">
      <alignment horizontal="center" vertical="center"/>
    </xf>
    <xf numFmtId="166" fontId="31" fillId="4" borderId="0" xfId="0" applyNumberFormat="1" applyFont="1" applyFill="1" applyAlignment="1" applyProtection="1">
      <alignment horizontal="center" vertical="center"/>
      <protection locked="0"/>
    </xf>
    <xf numFmtId="0" fontId="31" fillId="4" borderId="20" xfId="0" applyFont="1" applyFill="1" applyBorder="1" applyAlignment="1" applyProtection="1">
      <alignment horizontal="center" vertical="center"/>
      <protection locked="0"/>
    </xf>
    <xf numFmtId="0" fontId="31" fillId="4" borderId="14" xfId="0" applyFont="1" applyFill="1" applyBorder="1" applyAlignment="1">
      <alignment horizontal="right" vertical="center"/>
    </xf>
    <xf numFmtId="0" fontId="31" fillId="4" borderId="10" xfId="0" applyFont="1" applyFill="1" applyBorder="1" applyAlignment="1">
      <alignment horizontal="right" vertical="center"/>
    </xf>
    <xf numFmtId="0" fontId="52" fillId="4" borderId="0" xfId="0" applyFont="1" applyFill="1" applyAlignment="1">
      <alignment horizontal="center"/>
    </xf>
    <xf numFmtId="0" fontId="0" fillId="4" borderId="0" xfId="0" applyFill="1" applyAlignment="1">
      <alignment horizontal="center" wrapText="1"/>
    </xf>
    <xf numFmtId="0" fontId="0" fillId="4" borderId="0" xfId="0" applyFill="1" applyAlignment="1">
      <alignment horizontal="right"/>
    </xf>
    <xf numFmtId="14" fontId="1" fillId="4" borderId="17" xfId="0" applyNumberFormat="1"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0" xfId="0" applyFont="1" applyFill="1" applyAlignment="1">
      <alignment horizontal="center"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0" fillId="4" borderId="140" xfId="0" applyFill="1" applyBorder="1" applyAlignment="1">
      <alignment horizontal="center" vertical="center"/>
    </xf>
    <xf numFmtId="0" fontId="0" fillId="4" borderId="141" xfId="0" applyFill="1" applyBorder="1" applyAlignment="1">
      <alignment horizontal="center" vertical="center"/>
    </xf>
    <xf numFmtId="0" fontId="0" fillId="4" borderId="59" xfId="0" applyFill="1" applyBorder="1" applyAlignment="1">
      <alignment horizontal="center" vertical="center"/>
    </xf>
    <xf numFmtId="0" fontId="36" fillId="4" borderId="2" xfId="0" applyFont="1" applyFill="1" applyBorder="1" applyAlignment="1">
      <alignment horizontal="left" vertical="center" wrapText="1"/>
    </xf>
    <xf numFmtId="0" fontId="36" fillId="4" borderId="17" xfId="0" applyFont="1" applyFill="1" applyBorder="1" applyAlignment="1">
      <alignment horizontal="left" vertical="center" wrapText="1"/>
    </xf>
    <xf numFmtId="168" fontId="1" fillId="9" borderId="67" xfId="2" applyNumberFormat="1" applyFont="1" applyFill="1" applyBorder="1" applyAlignment="1">
      <alignment horizontal="center" vertical="center" wrapText="1"/>
    </xf>
    <xf numFmtId="168" fontId="1" fillId="9" borderId="68" xfId="2" applyNumberFormat="1" applyFont="1" applyFill="1" applyBorder="1" applyAlignment="1">
      <alignment horizontal="center" vertical="center" wrapText="1"/>
    </xf>
    <xf numFmtId="168" fontId="1" fillId="9" borderId="69" xfId="2" applyNumberFormat="1" applyFont="1" applyFill="1" applyBorder="1" applyAlignment="1">
      <alignment horizontal="center" vertical="center" wrapText="1"/>
    </xf>
    <xf numFmtId="0" fontId="41" fillId="0" borderId="18" xfId="0" applyFont="1" applyBorder="1" applyAlignment="1">
      <alignment vertical="top" wrapText="1"/>
    </xf>
    <xf numFmtId="0" fontId="13" fillId="0" borderId="10" xfId="0" applyFont="1" applyBorder="1" applyAlignment="1">
      <alignment horizontal="center"/>
    </xf>
    <xf numFmtId="0" fontId="34" fillId="0" borderId="37"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xf numFmtId="0" fontId="0" fillId="4" borderId="18" xfId="0"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4" xfId="0" applyFill="1" applyBorder="1" applyAlignment="1">
      <alignment horizontal="left" vertical="center" wrapText="1"/>
    </xf>
    <xf numFmtId="0" fontId="0" fillId="4" borderId="10" xfId="0" applyFill="1" applyBorder="1" applyAlignment="1">
      <alignment horizontal="left" vertical="center" wrapText="1"/>
    </xf>
    <xf numFmtId="0" fontId="0" fillId="4" borderId="17" xfId="0" applyFill="1" applyBorder="1" applyAlignment="1">
      <alignment horizontal="left" vertical="center" wrapText="1"/>
    </xf>
    <xf numFmtId="0" fontId="0" fillId="4" borderId="2" xfId="0" applyFill="1" applyBorder="1" applyAlignment="1">
      <alignment horizontal="left" vertical="center" wrapText="1"/>
    </xf>
    <xf numFmtId="0" fontId="39" fillId="0" borderId="17" xfId="0" applyFont="1" applyBorder="1" applyAlignment="1">
      <alignment horizontal="left"/>
    </xf>
    <xf numFmtId="0" fontId="36" fillId="0" borderId="2" xfId="5" applyFont="1" applyBorder="1" applyAlignment="1">
      <alignment horizontal="left" vertical="center" wrapText="1"/>
    </xf>
    <xf numFmtId="0" fontId="36" fillId="0" borderId="17" xfId="5"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6" fillId="4" borderId="63" xfId="0" applyFont="1" applyFill="1" applyBorder="1" applyAlignment="1">
      <alignment horizontal="left" vertical="center" wrapText="1"/>
    </xf>
    <xf numFmtId="0" fontId="0" fillId="0" borderId="63" xfId="0" applyBorder="1" applyAlignment="1">
      <alignment horizontal="left" vertical="center" wrapText="1"/>
    </xf>
    <xf numFmtId="0" fontId="0" fillId="4" borderId="37" xfId="0" applyFill="1" applyBorder="1" applyAlignment="1">
      <alignment horizontal="left" wrapText="1"/>
    </xf>
    <xf numFmtId="0" fontId="0" fillId="4" borderId="4" xfId="0" applyFill="1" applyBorder="1" applyAlignment="1">
      <alignment horizontal="left" wrapText="1"/>
    </xf>
    <xf numFmtId="0" fontId="0" fillId="0" borderId="35"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xf>
    <xf numFmtId="0" fontId="0" fillId="0" borderId="17" xfId="0" applyBorder="1" applyAlignment="1">
      <alignment horizontal="left"/>
    </xf>
    <xf numFmtId="0" fontId="36" fillId="0" borderId="2" xfId="0" applyFont="1" applyBorder="1" applyAlignment="1">
      <alignment horizontal="left" vertical="center" wrapText="1"/>
    </xf>
    <xf numFmtId="0" fontId="36" fillId="0" borderId="17" xfId="0" applyFont="1" applyBorder="1" applyAlignment="1">
      <alignment horizontal="left" vertical="center"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0" fillId="10" borderId="3" xfId="0" applyFill="1"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17" xfId="0" applyBorder="1" applyAlignment="1">
      <alignment horizontal="left" wrapText="1"/>
    </xf>
    <xf numFmtId="0" fontId="41" fillId="0" borderId="18" xfId="0" applyFont="1" applyBorder="1" applyAlignment="1">
      <alignment vertical="center" wrapText="1"/>
    </xf>
    <xf numFmtId="168" fontId="1" fillId="9" borderId="66" xfId="2" applyNumberFormat="1" applyFont="1" applyFill="1" applyBorder="1" applyAlignment="1">
      <alignment horizontal="center" vertical="center" wrapText="1"/>
    </xf>
    <xf numFmtId="0" fontId="0" fillId="0" borderId="36"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4" fontId="1" fillId="9" borderId="0" xfId="2" applyFont="1" applyFill="1" applyBorder="1" applyAlignment="1">
      <alignment horizontal="center" vertical="center" wrapText="1"/>
    </xf>
    <xf numFmtId="0" fontId="0" fillId="0" borderId="18" xfId="0" applyBorder="1" applyAlignment="1">
      <alignment horizontal="left" vertical="center" wrapText="1"/>
    </xf>
    <xf numFmtId="44" fontId="1" fillId="9" borderId="67" xfId="2" applyFont="1" applyFill="1" applyBorder="1" applyAlignment="1">
      <alignment horizontal="center" vertical="center" wrapText="1"/>
    </xf>
    <xf numFmtId="44" fontId="1" fillId="9" borderId="68" xfId="2"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 fillId="18" borderId="16" xfId="0" applyFont="1" applyFill="1" applyBorder="1" applyAlignment="1">
      <alignment horizontal="left" vertical="center" wrapText="1"/>
    </xf>
    <xf numFmtId="0" fontId="1" fillId="18" borderId="17" xfId="0" applyFont="1" applyFill="1" applyBorder="1" applyAlignment="1">
      <alignment horizontal="left" vertical="center" wrapText="1"/>
    </xf>
    <xf numFmtId="0" fontId="1" fillId="18" borderId="22" xfId="0" applyFont="1" applyFill="1" applyBorder="1" applyAlignment="1">
      <alignment horizontal="left" vertical="center" wrapText="1"/>
    </xf>
    <xf numFmtId="0" fontId="1" fillId="19" borderId="16" xfId="0" applyFont="1" applyFill="1" applyBorder="1" applyAlignment="1">
      <alignment horizontal="left" vertical="center" wrapText="1"/>
    </xf>
    <xf numFmtId="0" fontId="1" fillId="19" borderId="17" xfId="0" applyFont="1" applyFill="1" applyBorder="1" applyAlignment="1">
      <alignment horizontal="left" vertical="center" wrapText="1"/>
    </xf>
    <xf numFmtId="0" fontId="1" fillId="19" borderId="22" xfId="0" applyFont="1" applyFill="1" applyBorder="1" applyAlignment="1">
      <alignment horizontal="left" vertical="center" wrapText="1"/>
    </xf>
    <xf numFmtId="0" fontId="13" fillId="0" borderId="0" xfId="0" applyFont="1" applyAlignment="1">
      <alignment horizontal="center" vertical="center"/>
    </xf>
    <xf numFmtId="0" fontId="1" fillId="0" borderId="8" xfId="0" applyFont="1" applyBorder="1" applyAlignment="1">
      <alignment horizontal="center" vertical="center"/>
    </xf>
    <xf numFmtId="0" fontId="1" fillId="18" borderId="11"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13" xfId="0" applyFont="1" applyFill="1" applyBorder="1" applyAlignment="1">
      <alignment horizontal="left" vertical="center" wrapText="1"/>
    </xf>
    <xf numFmtId="0" fontId="1" fillId="18" borderId="23" xfId="0" applyFont="1" applyFill="1" applyBorder="1" applyAlignment="1">
      <alignment horizontal="left" vertical="center" wrapText="1"/>
    </xf>
    <xf numFmtId="0" fontId="1" fillId="18" borderId="4"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0" xfId="0" applyFont="1" applyFill="1" applyBorder="1" applyAlignment="1">
      <alignment horizontal="left" vertical="center" wrapText="1"/>
    </xf>
    <xf numFmtId="0" fontId="1" fillId="19" borderId="15" xfId="0" applyFont="1" applyFill="1" applyBorder="1" applyAlignment="1">
      <alignment horizontal="left" vertical="center" wrapText="1"/>
    </xf>
  </cellXfs>
  <cellStyles count="13">
    <cellStyle name="Bad" xfId="8" builtinId="27"/>
    <cellStyle name="Calculation" xfId="11" builtinId="22"/>
    <cellStyle name="Comma" xfId="6" builtinId="3"/>
    <cellStyle name="Currency" xfId="2" builtinId="4"/>
    <cellStyle name="Good" xfId="7" builtinId="26"/>
    <cellStyle name="Hyperlink" xfId="1" builtinId="8"/>
    <cellStyle name="Input" xfId="9" builtinId="20"/>
    <cellStyle name="Normal" xfId="0" builtinId="0"/>
    <cellStyle name="Normal 2" xfId="5" xr:uid="{EBF3ADE2-3171-4C10-9E75-1D40D3EFFA76}"/>
    <cellStyle name="Normal 3" xfId="4" xr:uid="{E2FA15CE-551D-4DD3-AE9E-C108B0781B25}"/>
    <cellStyle name="Normal 3 2" xfId="12" xr:uid="{B8DF9499-4B32-412A-9C15-A47058A2F2E3}"/>
    <cellStyle name="Output" xfId="10" builtinId="21"/>
    <cellStyle name="Percent" xfId="3" builtinId="5"/>
  </cellStyles>
  <dxfs count="110">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FF0000"/>
      </font>
      <fill>
        <patternFill>
          <bgColor rgb="FFFF9999"/>
        </patternFill>
      </fill>
    </dxf>
    <dxf>
      <font>
        <color rgb="FF006100"/>
      </font>
      <fill>
        <patternFill>
          <bgColor rgb="FFC6EFCE"/>
        </patternFill>
      </fill>
    </dxf>
    <dxf>
      <fill>
        <patternFill>
          <bgColor rgb="FFFF9999"/>
        </patternFill>
      </fill>
    </dxf>
    <dxf>
      <fill>
        <patternFill>
          <bgColor theme="0" tint="-4.9989318521683403E-2"/>
        </patternFill>
      </fill>
    </dxf>
    <dxf>
      <fill>
        <patternFill>
          <bgColor rgb="FFFFFFCC"/>
        </patternFill>
      </fill>
    </dxf>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92D050"/>
        </patternFill>
      </fill>
    </dxf>
    <dxf>
      <fill>
        <patternFill>
          <bgColor rgb="FFFFFF00"/>
        </patternFill>
      </fill>
    </dxf>
    <dxf>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4.9989318521683403E-2"/>
        </patternFill>
      </fill>
    </dxf>
    <dxf>
      <fill>
        <patternFill>
          <bgColor rgb="FFFF5050"/>
        </patternFill>
      </fill>
    </dxf>
    <dxf>
      <fill>
        <patternFill>
          <bgColor rgb="FFFFFFCC"/>
        </patternFill>
      </fill>
    </dxf>
    <dxf>
      <fill>
        <patternFill>
          <bgColor rgb="FFFFFF00"/>
        </patternFill>
      </fill>
    </dxf>
    <dxf>
      <fill>
        <patternFill>
          <bgColor rgb="FFFFFF00"/>
        </patternFill>
      </fill>
    </dxf>
    <dxf>
      <fill>
        <patternFill>
          <bgColor theme="0" tint="-4.9989318521683403E-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4.9989318521683403E-2"/>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theme="0" tint="-0.24994659260841701"/>
        </patternFill>
      </fill>
    </dxf>
    <dxf>
      <fill>
        <patternFill>
          <bgColor theme="0" tint="-0.24994659260841701"/>
        </patternFill>
      </fill>
    </dxf>
    <dxf>
      <font>
        <color theme="0" tint="-4.9989318521683403E-2"/>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CCFF"/>
      <color rgb="FF9BFFFF"/>
      <color rgb="FFFFDDDD"/>
      <color rgb="FF66FFFF"/>
      <color rgb="FFFFCCCC"/>
      <color rgb="FFFFD9D9"/>
      <color rgb="FF439539"/>
      <color rgb="FFFF5050"/>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68580</xdr:rowOff>
    </xdr:from>
    <xdr:to>
      <xdr:col>12</xdr:col>
      <xdr:colOff>145018</xdr:colOff>
      <xdr:row>18</xdr:row>
      <xdr:rowOff>136274</xdr:rowOff>
    </xdr:to>
    <xdr:pic>
      <xdr:nvPicPr>
        <xdr:cNvPr id="2" name="Picture 1">
          <a:extLst>
            <a:ext uri="{FF2B5EF4-FFF2-40B4-BE49-F238E27FC236}">
              <a16:creationId xmlns:a16="http://schemas.microsoft.com/office/drawing/2014/main" id="{57D3F32F-4659-6354-BDE4-AB47BF0F4510}"/>
            </a:ext>
          </a:extLst>
        </xdr:cNvPr>
        <xdr:cNvPicPr>
          <a:picLocks noChangeAspect="1"/>
        </xdr:cNvPicPr>
      </xdr:nvPicPr>
      <xdr:blipFill>
        <a:blip xmlns:r="http://schemas.openxmlformats.org/officeDocument/2006/relationships" r:embed="rId1"/>
        <a:stretch>
          <a:fillRect/>
        </a:stretch>
      </xdr:blipFill>
      <xdr:spPr>
        <a:xfrm>
          <a:off x="365760" y="1440180"/>
          <a:ext cx="1973818" cy="52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54977</xdr:colOff>
      <xdr:row>0</xdr:row>
      <xdr:rowOff>54957</xdr:rowOff>
    </xdr:from>
    <xdr:to>
      <xdr:col>40</xdr:col>
      <xdr:colOff>96010</xdr:colOff>
      <xdr:row>3</xdr:row>
      <xdr:rowOff>58912</xdr:rowOff>
    </xdr:to>
    <xdr:pic>
      <xdr:nvPicPr>
        <xdr:cNvPr id="2" name="Picture 1">
          <a:extLst>
            <a:ext uri="{FF2B5EF4-FFF2-40B4-BE49-F238E27FC236}">
              <a16:creationId xmlns:a16="http://schemas.microsoft.com/office/drawing/2014/main" id="{8E606630-4FEE-D5B8-F76E-F4E41A78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9946" y="54957"/>
          <a:ext cx="1131279" cy="102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3969</xdr:colOff>
      <xdr:row>104</xdr:row>
      <xdr:rowOff>23972</xdr:rowOff>
    </xdr:from>
    <xdr:to>
      <xdr:col>39</xdr:col>
      <xdr:colOff>37306</xdr:colOff>
      <xdr:row>106</xdr:row>
      <xdr:rowOff>72552</xdr:rowOff>
    </xdr:to>
    <xdr:pic>
      <xdr:nvPicPr>
        <xdr:cNvPr id="3" name="image1.png">
          <a:extLst>
            <a:ext uri="{FF2B5EF4-FFF2-40B4-BE49-F238E27FC236}">
              <a16:creationId xmlns:a16="http://schemas.microsoft.com/office/drawing/2014/main" id="{EED492BA-1A37-6D02-A275-84BFDA5EA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9219" y="28118753"/>
          <a:ext cx="1858962" cy="4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47297</xdr:colOff>
      <xdr:row>0</xdr:row>
      <xdr:rowOff>84082</xdr:rowOff>
    </xdr:from>
    <xdr:to>
      <xdr:col>40</xdr:col>
      <xdr:colOff>64835</xdr:colOff>
      <xdr:row>3</xdr:row>
      <xdr:rowOff>75337</xdr:rowOff>
    </xdr:to>
    <xdr:pic>
      <xdr:nvPicPr>
        <xdr:cNvPr id="3" name="Picture 2">
          <a:extLst>
            <a:ext uri="{FF2B5EF4-FFF2-40B4-BE49-F238E27FC236}">
              <a16:creationId xmlns:a16="http://schemas.microsoft.com/office/drawing/2014/main" id="{C116CE0D-981E-4A2C-BCDE-654C2A7B3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0083" y="84082"/>
          <a:ext cx="1121124" cy="101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337018</xdr:colOff>
      <xdr:row>0</xdr:row>
      <xdr:rowOff>68317</xdr:rowOff>
    </xdr:from>
    <xdr:to>
      <xdr:col>18</xdr:col>
      <xdr:colOff>235890</xdr:colOff>
      <xdr:row>2</xdr:row>
      <xdr:rowOff>416603</xdr:rowOff>
    </xdr:to>
    <xdr:pic>
      <xdr:nvPicPr>
        <xdr:cNvPr id="2" name="Picture 1">
          <a:extLst>
            <a:ext uri="{FF2B5EF4-FFF2-40B4-BE49-F238E27FC236}">
              <a16:creationId xmlns:a16="http://schemas.microsoft.com/office/drawing/2014/main" id="{A5C122A2-7770-4FC1-B15C-4565E5763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6784" y="68317"/>
          <a:ext cx="1012968" cy="91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155203</xdr:colOff>
      <xdr:row>1</xdr:row>
      <xdr:rowOff>97097</xdr:rowOff>
    </xdr:from>
    <xdr:to>
      <xdr:col>23</xdr:col>
      <xdr:colOff>160731</xdr:colOff>
      <xdr:row>4</xdr:row>
      <xdr:rowOff>143617</xdr:rowOff>
    </xdr:to>
    <xdr:pic>
      <xdr:nvPicPr>
        <xdr:cNvPr id="2" name="Picture 1">
          <a:extLst>
            <a:ext uri="{FF2B5EF4-FFF2-40B4-BE49-F238E27FC236}">
              <a16:creationId xmlns:a16="http://schemas.microsoft.com/office/drawing/2014/main" id="{A04EB903-25B3-4E59-B245-7355A6E1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7342" y="156732"/>
          <a:ext cx="919928" cy="83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197126</xdr:colOff>
      <xdr:row>106</xdr:row>
      <xdr:rowOff>27167</xdr:rowOff>
    </xdr:from>
    <xdr:to>
      <xdr:col>23</xdr:col>
      <xdr:colOff>227606</xdr:colOff>
      <xdr:row>107</xdr:row>
      <xdr:rowOff>225950</xdr:rowOff>
    </xdr:to>
    <xdr:pic>
      <xdr:nvPicPr>
        <xdr:cNvPr id="3" name="image1.png">
          <a:extLst>
            <a:ext uri="{FF2B5EF4-FFF2-40B4-BE49-F238E27FC236}">
              <a16:creationId xmlns:a16="http://schemas.microsoft.com/office/drawing/2014/main" id="{8AA72ED1-18FF-A623-50E9-978C3E39DF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0065" y="26379115"/>
          <a:ext cx="2164080" cy="503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93784</xdr:colOff>
      <xdr:row>0</xdr:row>
      <xdr:rowOff>0</xdr:rowOff>
    </xdr:from>
    <xdr:to>
      <xdr:col>36</xdr:col>
      <xdr:colOff>25163</xdr:colOff>
      <xdr:row>2</xdr:row>
      <xdr:rowOff>39609</xdr:rowOff>
    </xdr:to>
    <xdr:pic>
      <xdr:nvPicPr>
        <xdr:cNvPr id="3" name="Picture 2">
          <a:extLst>
            <a:ext uri="{FF2B5EF4-FFF2-40B4-BE49-F238E27FC236}">
              <a16:creationId xmlns:a16="http://schemas.microsoft.com/office/drawing/2014/main" id="{6B2FD51F-F982-4760-BF80-90AD3660C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338" y="0"/>
          <a:ext cx="658210" cy="59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285750</xdr:colOff>
      <xdr:row>44</xdr:row>
      <xdr:rowOff>42073</xdr:rowOff>
    </xdr:from>
    <xdr:ext cx="683491" cy="428254"/>
    <xdr:pic>
      <xdr:nvPicPr>
        <xdr:cNvPr id="3" name="Picture 2">
          <a:extLst>
            <a:ext uri="{FF2B5EF4-FFF2-40B4-BE49-F238E27FC236}">
              <a16:creationId xmlns:a16="http://schemas.microsoft.com/office/drawing/2014/main" id="{5E5197A4-FCB7-4BBE-8A2C-AF5699848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9056533"/>
          <a:ext cx="683491" cy="428254"/>
        </a:xfrm>
        <a:prstGeom prst="rect">
          <a:avLst/>
        </a:prstGeom>
      </xdr:spPr>
    </xdr:pic>
    <xdr:clientData/>
  </xdr:oneCellAnchor>
  <xdr:oneCellAnchor>
    <xdr:from>
      <xdr:col>15</xdr:col>
      <xdr:colOff>285750</xdr:colOff>
      <xdr:row>91</xdr:row>
      <xdr:rowOff>42073</xdr:rowOff>
    </xdr:from>
    <xdr:ext cx="683491" cy="428254"/>
    <xdr:pic>
      <xdr:nvPicPr>
        <xdr:cNvPr id="4" name="Picture 3">
          <a:extLst>
            <a:ext uri="{FF2B5EF4-FFF2-40B4-BE49-F238E27FC236}">
              <a16:creationId xmlns:a16="http://schemas.microsoft.com/office/drawing/2014/main" id="{9F818548-E1A9-45EF-9347-8B187717A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17865253"/>
          <a:ext cx="683491" cy="428254"/>
        </a:xfrm>
        <a:prstGeom prst="rect">
          <a:avLst/>
        </a:prstGeom>
      </xdr:spPr>
    </xdr:pic>
    <xdr:clientData/>
  </xdr:oneCellAnchor>
  <xdr:twoCellAnchor editAs="oneCell">
    <xdr:from>
      <xdr:col>15</xdr:col>
      <xdr:colOff>114300</xdr:colOff>
      <xdr:row>0</xdr:row>
      <xdr:rowOff>16329</xdr:rowOff>
    </xdr:from>
    <xdr:to>
      <xdr:col>17</xdr:col>
      <xdr:colOff>272143</xdr:colOff>
      <xdr:row>3</xdr:row>
      <xdr:rowOff>76168</xdr:rowOff>
    </xdr:to>
    <xdr:pic>
      <xdr:nvPicPr>
        <xdr:cNvPr id="5" name="Picture 4">
          <a:extLst>
            <a:ext uri="{FF2B5EF4-FFF2-40B4-BE49-F238E27FC236}">
              <a16:creationId xmlns:a16="http://schemas.microsoft.com/office/drawing/2014/main" id="{180AB6A2-0535-468A-B520-952CB0EA4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2357" y="16329"/>
          <a:ext cx="908957" cy="767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106884</xdr:colOff>
      <xdr:row>0</xdr:row>
      <xdr:rowOff>65690</xdr:rowOff>
    </xdr:from>
    <xdr:to>
      <xdr:col>36</xdr:col>
      <xdr:colOff>144520</xdr:colOff>
      <xdr:row>2</xdr:row>
      <xdr:rowOff>144517</xdr:rowOff>
    </xdr:to>
    <xdr:pic>
      <xdr:nvPicPr>
        <xdr:cNvPr id="2" name="Picture 1">
          <a:extLst>
            <a:ext uri="{FF2B5EF4-FFF2-40B4-BE49-F238E27FC236}">
              <a16:creationId xmlns:a16="http://schemas.microsoft.com/office/drawing/2014/main" id="{72534928-0193-7B1F-F9DE-1F52EE009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884" y="65690"/>
          <a:ext cx="1233188" cy="67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438150</xdr:colOff>
      <xdr:row>23</xdr:row>
      <xdr:rowOff>40005</xdr:rowOff>
    </xdr:from>
    <xdr:to>
      <xdr:col>5</xdr:col>
      <xdr:colOff>36195</xdr:colOff>
      <xdr:row>31</xdr:row>
      <xdr:rowOff>127635</xdr:rowOff>
    </xdr:to>
    <xdr:pic>
      <xdr:nvPicPr>
        <xdr:cNvPr id="2" name="Picture 1">
          <a:extLst>
            <a:ext uri="{FF2B5EF4-FFF2-40B4-BE49-F238E27FC236}">
              <a16:creationId xmlns:a16="http://schemas.microsoft.com/office/drawing/2014/main" id="{0617C523-363E-4E65-AE7E-84CBD2496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070" y="5061585"/>
          <a:ext cx="1640205" cy="1550670"/>
        </a:xfrm>
        <a:prstGeom prst="rect">
          <a:avLst/>
        </a:prstGeom>
      </xdr:spPr>
    </xdr:pic>
    <xdr:clientData/>
  </xdr:twoCellAnchor>
  <xdr:twoCellAnchor editAs="oneCell">
    <xdr:from>
      <xdr:col>6</xdr:col>
      <xdr:colOff>251460</xdr:colOff>
      <xdr:row>22</xdr:row>
      <xdr:rowOff>91440</xdr:rowOff>
    </xdr:from>
    <xdr:to>
      <xdr:col>9</xdr:col>
      <xdr:colOff>637865</xdr:colOff>
      <xdr:row>32</xdr:row>
      <xdr:rowOff>164847</xdr:rowOff>
    </xdr:to>
    <xdr:pic>
      <xdr:nvPicPr>
        <xdr:cNvPr id="4" name="Picture 3">
          <a:extLst>
            <a:ext uri="{FF2B5EF4-FFF2-40B4-BE49-F238E27FC236}">
              <a16:creationId xmlns:a16="http://schemas.microsoft.com/office/drawing/2014/main" id="{C8599F6B-733A-1377-CC6B-D06DD883E1F3}"/>
            </a:ext>
          </a:extLst>
        </xdr:cNvPr>
        <xdr:cNvPicPr>
          <a:picLocks noChangeAspect="1"/>
        </xdr:cNvPicPr>
      </xdr:nvPicPr>
      <xdr:blipFill>
        <a:blip xmlns:r="http://schemas.openxmlformats.org/officeDocument/2006/relationships" r:embed="rId2"/>
        <a:stretch>
          <a:fillRect/>
        </a:stretch>
      </xdr:blipFill>
      <xdr:spPr>
        <a:xfrm>
          <a:off x="3406140" y="5082540"/>
          <a:ext cx="2108525" cy="1902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A.xlsx" TargetMode="External"/><Relationship Id="rId1" Type="http://schemas.openxmlformats.org/officeDocument/2006/relationships/externalLinkPath" Target="file:///C:\Users\designorc\OneDrive%20-%20Leidos-LeidosCorpUS\Desktop\Ameren%20IQ\PY23\Home%20Efficiency%20Program\PY23%20Versions\PY2023-Home-Efficiency-Workbook-Rev3.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G%20Tier%20levels.xlsx" TargetMode="External"/><Relationship Id="rId1" Type="http://schemas.openxmlformats.org/officeDocument/2006/relationships/externalLinkPath" Target="file:///C:\Users\designorc\OneDrive%20-%20Leidos-LeidosCorpUS\Desktop\Ameren%20IQ\PY23\Home%20Efficiency%20Program\PY23%20Versions\PY2023-Home-Efficiency-Workbook-Rev3.G%20Tier%20level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meresco-my.sharepoint.com/Projects/DEER2013/Lighting%20Workbook/Res/DEER2010-2012ResidentialImpacts%20v1_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jects\DEER2013\Lighting%20Workbook\Res\DEER2010-2012ResidentialImpacts%20v1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meresco-my.sharepoint.com/WINDOWS/Temporary%20Internet%20Files/Content.Outlook/0CHIRH6H/Dual_ba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orary%20Internet%20Files\Content.Outlook\0CHIRH6H\Dual_baseline.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 Id="rId1"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eeresources.com/KevinShared/DMQC/InteractiveEffects/Interactive%20Effects_100226/Interactive%20Effects_1002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9WDF8M4R/Dimming%20ballast%20measure%20saving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9WDF8M4R\Dimming%20ballast%20measure%20saving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L3P7IY6G/WIP%20v0%200%20-%20Calculation%20Template%202015%20v0%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L3P7IY6G\WIP%20v0%200%20-%20Calculation%20Template%202015%20v0%20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5\Ancillary%20costs%20form\PY2021-Home-Efficiency-Workbook-3.10.2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J.xlsx" TargetMode="External"/><Relationship Id="rId1" Type="http://schemas.openxmlformats.org/officeDocument/2006/relationships/externalLinkPath" Target="file:///C:\Users\designorc\OneDrive%20-%20Leidos-LeidosCorpUS\Desktop\Ameren%20IQ\PY23\Home%20Efficiency%20Program\PY23%20Versions\PY2023-Home-Efficiency-Workbook-Rev3.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7\PY2021-Home-Efficiency-Workbook-Rev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 val="No Heat 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v>0.95</v>
          </cell>
        </row>
      </sheetData>
      <sheetData sheetId="11" refreshError="1"/>
      <sheetData sheetId="12" refreshError="1"/>
      <sheetData sheetId="13"/>
      <sheetData sheetId="14" refreshError="1"/>
      <sheetData sheetId="15" refreshError="1"/>
      <sheetData sheetId="16">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ASHP</v>
          </cell>
        </row>
        <row r="37">
          <cell r="A37" t="str">
            <v>CAC</v>
          </cell>
        </row>
        <row r="38">
          <cell r="A38" t="str">
            <v>Mini-Split Heat Pump</v>
          </cell>
        </row>
        <row r="39">
          <cell r="A39" t="str">
            <v>Window Unit</v>
          </cell>
        </row>
        <row r="40">
          <cell r="A40" t="str">
            <v>2+ CAC Units</v>
          </cell>
        </row>
        <row r="41">
          <cell r="A41" t="str">
            <v>2+ ASHP Units</v>
          </cell>
        </row>
        <row r="42">
          <cell r="A42" t="str">
            <v>NA</v>
          </cell>
        </row>
      </sheetData>
      <sheetData sheetId="17" refreshError="1"/>
      <sheetData sheetId="18" refreshError="1"/>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2">
          <cell r="C2">
            <v>0.9</v>
          </cell>
        </row>
      </sheetData>
      <sheetData sheetId="17">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 val="Lookup Info"/>
      <sheetName val="CPUC End Use"/>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 val="Lists"/>
      <sheetName val="hvac tier 2 incentive table"/>
      <sheetName val="Lookups"/>
      <sheetName val="Lookup Info"/>
      <sheetName val="CPUC End Use"/>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tails"/>
      <sheetName val="Dashboard_FS"/>
      <sheetName val="Dashboard_EE"/>
      <sheetName val="Form Lookups"/>
      <sheetName val="Heating and Cooling Zip Codes"/>
      <sheetName val="Algorithms_FS"/>
      <sheetName val="Backup_FS"/>
      <sheetName val="Algorithms_EE"/>
      <sheetName val="Backup_EE"/>
      <sheetName val="CZ Inputs"/>
      <sheetName val="Rates -&gt;"/>
      <sheetName val="Electric Rates"/>
      <sheetName val="Gas Rates"/>
      <sheetName val="Rate Sheet Input"/>
    </sheetNames>
    <sheetDataSet>
      <sheetData sheetId="0">
        <row r="5">
          <cell r="AI5">
            <v>61568</v>
          </cell>
        </row>
        <row r="19">
          <cell r="N19">
            <v>0</v>
          </cell>
        </row>
      </sheetData>
      <sheetData sheetId="1">
        <row r="3">
          <cell r="K3" t="str">
            <v>3 (Springfield)</v>
          </cell>
          <cell r="O3">
            <v>0</v>
          </cell>
        </row>
        <row r="4">
          <cell r="O4">
            <v>0</v>
          </cell>
        </row>
        <row r="5">
          <cell r="O5">
            <v>0</v>
          </cell>
        </row>
        <row r="6">
          <cell r="K6">
            <v>0</v>
          </cell>
          <cell r="O6">
            <v>0</v>
          </cell>
        </row>
        <row r="7">
          <cell r="K7">
            <v>0</v>
          </cell>
          <cell r="O7">
            <v>0</v>
          </cell>
        </row>
        <row r="8">
          <cell r="K8">
            <v>0</v>
          </cell>
          <cell r="O8">
            <v>0</v>
          </cell>
        </row>
        <row r="9">
          <cell r="K9">
            <v>0</v>
          </cell>
          <cell r="O9">
            <v>0</v>
          </cell>
        </row>
        <row r="10">
          <cell r="G10" t="str">
            <v>Total</v>
          </cell>
          <cell r="K10">
            <v>0</v>
          </cell>
          <cell r="O10">
            <v>0</v>
          </cell>
        </row>
        <row r="11">
          <cell r="O11">
            <v>1</v>
          </cell>
        </row>
        <row r="12">
          <cell r="O12">
            <v>3</v>
          </cell>
        </row>
        <row r="14">
          <cell r="K14">
            <v>0</v>
          </cell>
        </row>
        <row r="15">
          <cell r="K15">
            <v>0</v>
          </cell>
          <cell r="O15">
            <v>0</v>
          </cell>
          <cell r="P15">
            <v>0</v>
          </cell>
        </row>
        <row r="16">
          <cell r="K16">
            <v>0</v>
          </cell>
          <cell r="O16">
            <v>0</v>
          </cell>
          <cell r="P16">
            <v>0</v>
          </cell>
        </row>
        <row r="17">
          <cell r="K17" t="str">
            <v>No</v>
          </cell>
          <cell r="O17">
            <v>1</v>
          </cell>
          <cell r="P17">
            <v>0</v>
          </cell>
        </row>
        <row r="19">
          <cell r="O19">
            <v>1</v>
          </cell>
          <cell r="P19">
            <v>0</v>
          </cell>
        </row>
        <row r="20">
          <cell r="K20" t="str">
            <v>Yes</v>
          </cell>
          <cell r="O20">
            <v>1</v>
          </cell>
          <cell r="P20">
            <v>0</v>
          </cell>
        </row>
        <row r="21">
          <cell r="O21">
            <v>1</v>
          </cell>
          <cell r="P21">
            <v>0</v>
          </cell>
        </row>
      </sheetData>
      <sheetData sheetId="2">
        <row r="3">
          <cell r="K3" t="str">
            <v>3 (Springfield)</v>
          </cell>
        </row>
      </sheetData>
      <sheetData sheetId="3"/>
      <sheetData sheetId="4">
        <row r="2">
          <cell r="A2">
            <v>60518</v>
          </cell>
          <cell r="B2" t="str">
            <v>2 (Chicago)</v>
          </cell>
        </row>
        <row r="3">
          <cell r="A3">
            <v>60536</v>
          </cell>
          <cell r="B3" t="str">
            <v>2 (Chicago)</v>
          </cell>
        </row>
        <row r="4">
          <cell r="A4">
            <v>60537</v>
          </cell>
          <cell r="B4" t="str">
            <v>2 (Chicago)</v>
          </cell>
        </row>
        <row r="5">
          <cell r="A5">
            <v>60541</v>
          </cell>
          <cell r="B5" t="str">
            <v>2 (Chicago)</v>
          </cell>
        </row>
        <row r="6">
          <cell r="A6">
            <v>60549</v>
          </cell>
          <cell r="B6" t="str">
            <v>2 (Chicago)</v>
          </cell>
        </row>
        <row r="7">
          <cell r="A7">
            <v>60551</v>
          </cell>
          <cell r="B7" t="str">
            <v>2 (Chicago)</v>
          </cell>
        </row>
        <row r="8">
          <cell r="A8">
            <v>60557</v>
          </cell>
          <cell r="B8" t="str">
            <v>2 (Chicago)</v>
          </cell>
        </row>
        <row r="9">
          <cell r="A9">
            <v>60560</v>
          </cell>
          <cell r="B9" t="str">
            <v>2 (Chicago)</v>
          </cell>
        </row>
        <row r="10">
          <cell r="A10">
            <v>60911</v>
          </cell>
          <cell r="B10" t="str">
            <v>2 (Chicago)</v>
          </cell>
        </row>
        <row r="11">
          <cell r="A11">
            <v>60912</v>
          </cell>
          <cell r="B11" t="str">
            <v>2 (Chicago)</v>
          </cell>
        </row>
        <row r="12">
          <cell r="A12">
            <v>60918</v>
          </cell>
          <cell r="B12" t="str">
            <v>2 (Chicago)</v>
          </cell>
        </row>
        <row r="13">
          <cell r="A13">
            <v>60921</v>
          </cell>
          <cell r="B13" t="str">
            <v>2 (Chicago)</v>
          </cell>
        </row>
        <row r="14">
          <cell r="A14">
            <v>60922</v>
          </cell>
          <cell r="B14" t="str">
            <v>2 (Chicago)</v>
          </cell>
        </row>
        <row r="15">
          <cell r="A15">
            <v>60924</v>
          </cell>
          <cell r="B15" t="str">
            <v>2 (Chicago)</v>
          </cell>
        </row>
        <row r="16">
          <cell r="A16">
            <v>60926</v>
          </cell>
          <cell r="B16" t="str">
            <v>2 (Chicago)</v>
          </cell>
        </row>
        <row r="17">
          <cell r="A17">
            <v>60927</v>
          </cell>
          <cell r="B17" t="str">
            <v>2 (Chicago)</v>
          </cell>
        </row>
        <row r="18">
          <cell r="A18">
            <v>60928</v>
          </cell>
          <cell r="B18" t="str">
            <v>2 (Chicago)</v>
          </cell>
        </row>
        <row r="19">
          <cell r="A19">
            <v>60929</v>
          </cell>
          <cell r="B19" t="str">
            <v>2 (Chicago)</v>
          </cell>
        </row>
        <row r="20">
          <cell r="A20">
            <v>60930</v>
          </cell>
          <cell r="B20" t="str">
            <v>2 (Chicago)</v>
          </cell>
        </row>
        <row r="21">
          <cell r="A21">
            <v>60931</v>
          </cell>
          <cell r="B21" t="str">
            <v>2 (Chicago)</v>
          </cell>
        </row>
        <row r="22">
          <cell r="A22">
            <v>60932</v>
          </cell>
          <cell r="B22" t="str">
            <v>3 (Springfield)</v>
          </cell>
        </row>
        <row r="23">
          <cell r="A23">
            <v>60933</v>
          </cell>
          <cell r="B23" t="str">
            <v>3 (Springfield)</v>
          </cell>
        </row>
        <row r="24">
          <cell r="A24">
            <v>60936</v>
          </cell>
          <cell r="B24" t="str">
            <v>3 (Springfield)</v>
          </cell>
        </row>
        <row r="25">
          <cell r="A25">
            <v>60938</v>
          </cell>
          <cell r="B25" t="str">
            <v>2 (Chicago)</v>
          </cell>
        </row>
        <row r="26">
          <cell r="A26">
            <v>60939</v>
          </cell>
          <cell r="B26" t="str">
            <v>2 (Chicago)</v>
          </cell>
        </row>
        <row r="27">
          <cell r="A27">
            <v>60942</v>
          </cell>
          <cell r="B27" t="str">
            <v>3 (Springfield)</v>
          </cell>
        </row>
        <row r="28">
          <cell r="A28">
            <v>60945</v>
          </cell>
          <cell r="B28" t="str">
            <v>2 (Chicago)</v>
          </cell>
        </row>
        <row r="29">
          <cell r="A29">
            <v>60948</v>
          </cell>
          <cell r="B29" t="str">
            <v>2 (Chicago)</v>
          </cell>
        </row>
        <row r="30">
          <cell r="A30">
            <v>60949</v>
          </cell>
          <cell r="B30" t="str">
            <v>3 (Springfield)</v>
          </cell>
        </row>
        <row r="31">
          <cell r="A31">
            <v>60951</v>
          </cell>
          <cell r="B31" t="str">
            <v>2 (Chicago)</v>
          </cell>
        </row>
        <row r="32">
          <cell r="A32">
            <v>60952</v>
          </cell>
          <cell r="B32" t="str">
            <v>3 (Springfield)</v>
          </cell>
        </row>
        <row r="33">
          <cell r="A33">
            <v>60953</v>
          </cell>
          <cell r="B33" t="str">
            <v>2 (Chicago)</v>
          </cell>
        </row>
        <row r="34">
          <cell r="A34">
            <v>60955</v>
          </cell>
          <cell r="B34" t="str">
            <v>2 (Chicago)</v>
          </cell>
        </row>
        <row r="35">
          <cell r="A35">
            <v>60956</v>
          </cell>
          <cell r="B35" t="str">
            <v>2 (Chicago)</v>
          </cell>
        </row>
        <row r="36">
          <cell r="A36">
            <v>60957</v>
          </cell>
          <cell r="B36" t="str">
            <v>3 (Springfield)</v>
          </cell>
        </row>
        <row r="37">
          <cell r="A37">
            <v>60959</v>
          </cell>
          <cell r="B37" t="str">
            <v>3 (Springfield)</v>
          </cell>
        </row>
        <row r="38">
          <cell r="A38">
            <v>60960</v>
          </cell>
          <cell r="B38" t="str">
            <v>3 (Springfield)</v>
          </cell>
        </row>
        <row r="39">
          <cell r="A39">
            <v>60962</v>
          </cell>
          <cell r="B39" t="str">
            <v>3 (Springfield)</v>
          </cell>
        </row>
        <row r="40">
          <cell r="A40">
            <v>60963</v>
          </cell>
          <cell r="B40" t="str">
            <v>3 (Springfield)</v>
          </cell>
        </row>
        <row r="41">
          <cell r="A41">
            <v>60964</v>
          </cell>
          <cell r="B41" t="str">
            <v>2 (Chicago)</v>
          </cell>
        </row>
        <row r="42">
          <cell r="A42">
            <v>60966</v>
          </cell>
          <cell r="B42" t="str">
            <v>2 (Chicago)</v>
          </cell>
        </row>
        <row r="43">
          <cell r="A43">
            <v>60967</v>
          </cell>
          <cell r="B43" t="str">
            <v>2 (Chicago)</v>
          </cell>
        </row>
        <row r="44">
          <cell r="A44">
            <v>60968</v>
          </cell>
          <cell r="B44" t="str">
            <v>2 (Chicago)</v>
          </cell>
        </row>
        <row r="45">
          <cell r="A45">
            <v>60970</v>
          </cell>
          <cell r="B45" t="str">
            <v>2 (Chicago)</v>
          </cell>
        </row>
        <row r="46">
          <cell r="A46">
            <v>60973</v>
          </cell>
          <cell r="B46" t="str">
            <v>2 (Chicago)</v>
          </cell>
        </row>
        <row r="47">
          <cell r="A47">
            <v>60974</v>
          </cell>
          <cell r="B47" t="str">
            <v>2 (Chicago)</v>
          </cell>
        </row>
        <row r="48">
          <cell r="A48">
            <v>61231</v>
          </cell>
          <cell r="B48" t="str">
            <v>2 (Chicago)</v>
          </cell>
        </row>
        <row r="49">
          <cell r="A49">
            <v>61233</v>
          </cell>
          <cell r="B49" t="str">
            <v>2 (Chicago)</v>
          </cell>
        </row>
        <row r="50">
          <cell r="A50">
            <v>61234</v>
          </cell>
          <cell r="B50" t="str">
            <v>2 (Chicago)</v>
          </cell>
        </row>
        <row r="51">
          <cell r="A51">
            <v>61235</v>
          </cell>
          <cell r="B51" t="str">
            <v>2 (Chicago)</v>
          </cell>
        </row>
        <row r="52">
          <cell r="A52">
            <v>61238</v>
          </cell>
          <cell r="B52" t="str">
            <v>2 (Chicago)</v>
          </cell>
        </row>
        <row r="53">
          <cell r="A53">
            <v>61254</v>
          </cell>
          <cell r="B53" t="str">
            <v>2 (Chicago)</v>
          </cell>
        </row>
        <row r="54">
          <cell r="A54">
            <v>61260</v>
          </cell>
          <cell r="B54" t="str">
            <v>2 (Chicago)</v>
          </cell>
        </row>
        <row r="55">
          <cell r="A55">
            <v>61262</v>
          </cell>
          <cell r="B55" t="str">
            <v>2 (Chicago)</v>
          </cell>
        </row>
        <row r="56">
          <cell r="A56">
            <v>61263</v>
          </cell>
          <cell r="B56" t="str">
            <v>2 (Chicago)</v>
          </cell>
        </row>
        <row r="57">
          <cell r="A57">
            <v>61264</v>
          </cell>
          <cell r="B57" t="str">
            <v>2 (Chicago)</v>
          </cell>
        </row>
        <row r="58">
          <cell r="A58">
            <v>61272</v>
          </cell>
          <cell r="B58" t="str">
            <v>2 (Chicago)</v>
          </cell>
        </row>
        <row r="59">
          <cell r="A59">
            <v>61274</v>
          </cell>
          <cell r="B59" t="str">
            <v>2 (Chicago)</v>
          </cell>
        </row>
        <row r="60">
          <cell r="A60">
            <v>61276</v>
          </cell>
          <cell r="B60" t="str">
            <v>2 (Chicago)</v>
          </cell>
        </row>
        <row r="61">
          <cell r="A61">
            <v>61279</v>
          </cell>
          <cell r="B61" t="str">
            <v>2 (Chicago)</v>
          </cell>
        </row>
        <row r="62">
          <cell r="A62">
            <v>61281</v>
          </cell>
          <cell r="B62" t="str">
            <v>2 (Chicago)</v>
          </cell>
        </row>
        <row r="63">
          <cell r="A63">
            <v>61283</v>
          </cell>
          <cell r="B63" t="str">
            <v>2 (Chicago)</v>
          </cell>
        </row>
        <row r="64">
          <cell r="A64">
            <v>61301</v>
          </cell>
          <cell r="B64" t="str">
            <v>2 (Chicago)</v>
          </cell>
        </row>
        <row r="65">
          <cell r="A65">
            <v>61312</v>
          </cell>
          <cell r="B65" t="str">
            <v>2 (Chicago)</v>
          </cell>
        </row>
        <row r="66">
          <cell r="A66">
            <v>61314</v>
          </cell>
          <cell r="B66" t="str">
            <v>2 (Chicago)</v>
          </cell>
        </row>
        <row r="67">
          <cell r="A67">
            <v>61315</v>
          </cell>
          <cell r="B67" t="str">
            <v>2 (Chicago)</v>
          </cell>
        </row>
        <row r="68">
          <cell r="A68">
            <v>61316</v>
          </cell>
          <cell r="B68" t="str">
            <v>2 (Chicago)</v>
          </cell>
        </row>
        <row r="69">
          <cell r="A69">
            <v>61317</v>
          </cell>
          <cell r="B69" t="str">
            <v>2 (Chicago)</v>
          </cell>
        </row>
        <row r="70">
          <cell r="A70">
            <v>61320</v>
          </cell>
          <cell r="B70" t="str">
            <v>2 (Chicago)</v>
          </cell>
        </row>
        <row r="71">
          <cell r="A71">
            <v>61322</v>
          </cell>
          <cell r="B71" t="str">
            <v>2 (Chicago)</v>
          </cell>
        </row>
        <row r="72">
          <cell r="A72">
            <v>61323</v>
          </cell>
          <cell r="B72" t="str">
            <v>2 (Chicago)</v>
          </cell>
        </row>
        <row r="73">
          <cell r="A73">
            <v>61326</v>
          </cell>
          <cell r="B73" t="str">
            <v>2 (Chicago)</v>
          </cell>
        </row>
        <row r="74">
          <cell r="A74">
            <v>61327</v>
          </cell>
          <cell r="B74" t="str">
            <v>2 (Chicago)</v>
          </cell>
        </row>
        <row r="75">
          <cell r="A75">
            <v>61328</v>
          </cell>
          <cell r="B75" t="str">
            <v>2 (Chicago)</v>
          </cell>
        </row>
        <row r="76">
          <cell r="A76">
            <v>61329</v>
          </cell>
          <cell r="B76" t="str">
            <v>2 (Chicago)</v>
          </cell>
        </row>
        <row r="77">
          <cell r="A77">
            <v>61330</v>
          </cell>
          <cell r="B77" t="str">
            <v>2 (Chicago)</v>
          </cell>
        </row>
        <row r="78">
          <cell r="A78">
            <v>61334</v>
          </cell>
          <cell r="B78" t="str">
            <v>2 (Chicago)</v>
          </cell>
        </row>
        <row r="79">
          <cell r="A79">
            <v>61335</v>
          </cell>
          <cell r="B79" t="str">
            <v>2 (Chicago)</v>
          </cell>
        </row>
        <row r="80">
          <cell r="A80">
            <v>61336</v>
          </cell>
          <cell r="B80" t="str">
            <v>2 (Chicago)</v>
          </cell>
        </row>
        <row r="81">
          <cell r="A81">
            <v>61337</v>
          </cell>
          <cell r="B81" t="str">
            <v>2 (Chicago)</v>
          </cell>
        </row>
        <row r="82">
          <cell r="A82">
            <v>61338</v>
          </cell>
          <cell r="B82" t="str">
            <v>2 (Chicago)</v>
          </cell>
        </row>
        <row r="83">
          <cell r="A83">
            <v>61340</v>
          </cell>
          <cell r="B83" t="str">
            <v>2 (Chicago)</v>
          </cell>
        </row>
        <row r="84">
          <cell r="A84">
            <v>61341</v>
          </cell>
          <cell r="B84" t="str">
            <v>2 (Chicago)</v>
          </cell>
        </row>
        <row r="85">
          <cell r="A85">
            <v>61342</v>
          </cell>
          <cell r="B85" t="str">
            <v>2 (Chicago)</v>
          </cell>
        </row>
        <row r="86">
          <cell r="A86">
            <v>61344</v>
          </cell>
          <cell r="B86" t="str">
            <v>2 (Chicago)</v>
          </cell>
        </row>
        <row r="87">
          <cell r="A87">
            <v>61345</v>
          </cell>
          <cell r="B87" t="str">
            <v>2 (Chicago)</v>
          </cell>
        </row>
        <row r="88">
          <cell r="A88">
            <v>61346</v>
          </cell>
          <cell r="B88" t="str">
            <v>2 (Chicago)</v>
          </cell>
        </row>
        <row r="89">
          <cell r="A89">
            <v>61348</v>
          </cell>
          <cell r="B89" t="str">
            <v>2 (Chicago)</v>
          </cell>
        </row>
        <row r="90">
          <cell r="A90">
            <v>61349</v>
          </cell>
          <cell r="B90" t="str">
            <v>2 (Chicago)</v>
          </cell>
        </row>
        <row r="91">
          <cell r="A91">
            <v>61350</v>
          </cell>
          <cell r="B91" t="str">
            <v>2 (Chicago)</v>
          </cell>
        </row>
        <row r="92">
          <cell r="A92">
            <v>61354</v>
          </cell>
          <cell r="B92" t="str">
            <v>2 (Chicago)</v>
          </cell>
        </row>
        <row r="93">
          <cell r="A93">
            <v>61356</v>
          </cell>
          <cell r="B93" t="str">
            <v>2 (Chicago)</v>
          </cell>
        </row>
        <row r="94">
          <cell r="A94">
            <v>61358</v>
          </cell>
          <cell r="B94" t="str">
            <v>2 (Chicago)</v>
          </cell>
        </row>
        <row r="95">
          <cell r="A95">
            <v>61359</v>
          </cell>
          <cell r="B95" t="str">
            <v>2 (Chicago)</v>
          </cell>
        </row>
        <row r="96">
          <cell r="A96">
            <v>61361</v>
          </cell>
          <cell r="B96" t="str">
            <v>2 (Chicago)</v>
          </cell>
        </row>
        <row r="97">
          <cell r="A97">
            <v>61362</v>
          </cell>
          <cell r="B97" t="str">
            <v>2 (Chicago)</v>
          </cell>
        </row>
        <row r="98">
          <cell r="A98">
            <v>61363</v>
          </cell>
          <cell r="B98" t="str">
            <v>2 (Chicago)</v>
          </cell>
        </row>
        <row r="99">
          <cell r="A99">
            <v>61368</v>
          </cell>
          <cell r="B99" t="str">
            <v>2 (Chicago)</v>
          </cell>
        </row>
        <row r="100">
          <cell r="A100">
            <v>61369</v>
          </cell>
          <cell r="B100" t="str">
            <v>2 (Chicago)</v>
          </cell>
        </row>
        <row r="101">
          <cell r="A101">
            <v>61370</v>
          </cell>
          <cell r="B101" t="str">
            <v>2 (Chicago)</v>
          </cell>
        </row>
        <row r="102">
          <cell r="A102">
            <v>61371</v>
          </cell>
          <cell r="B102" t="str">
            <v>2 (Chicago)</v>
          </cell>
        </row>
        <row r="103">
          <cell r="A103">
            <v>61372</v>
          </cell>
          <cell r="B103" t="str">
            <v>2 (Chicago)</v>
          </cell>
        </row>
        <row r="104">
          <cell r="A104">
            <v>61373</v>
          </cell>
          <cell r="B104" t="str">
            <v>2 (Chicago)</v>
          </cell>
        </row>
        <row r="105">
          <cell r="A105">
            <v>61374</v>
          </cell>
          <cell r="B105" t="str">
            <v>2 (Chicago)</v>
          </cell>
        </row>
        <row r="106">
          <cell r="A106">
            <v>61375</v>
          </cell>
          <cell r="B106" t="str">
            <v>2 (Chicago)</v>
          </cell>
        </row>
        <row r="107">
          <cell r="A107">
            <v>61376</v>
          </cell>
          <cell r="B107" t="str">
            <v>2 (Chicago)</v>
          </cell>
        </row>
        <row r="108">
          <cell r="A108">
            <v>61377</v>
          </cell>
          <cell r="B108" t="str">
            <v>2 (Chicago)</v>
          </cell>
        </row>
        <row r="109">
          <cell r="A109">
            <v>61379</v>
          </cell>
          <cell r="B109" t="str">
            <v>2 (Chicago)</v>
          </cell>
        </row>
        <row r="110">
          <cell r="A110">
            <v>61401</v>
          </cell>
          <cell r="B110" t="str">
            <v>2 (Chicago)</v>
          </cell>
        </row>
        <row r="111">
          <cell r="A111">
            <v>61402</v>
          </cell>
          <cell r="B111" t="str">
            <v>2 (Chicago)</v>
          </cell>
        </row>
        <row r="112">
          <cell r="A112">
            <v>61410</v>
          </cell>
          <cell r="B112" t="str">
            <v>2 (Chicago)</v>
          </cell>
        </row>
        <row r="113">
          <cell r="A113">
            <v>61411</v>
          </cell>
          <cell r="B113" t="str">
            <v>3 (Springfield)</v>
          </cell>
        </row>
        <row r="114">
          <cell r="A114">
            <v>61412</v>
          </cell>
          <cell r="B114" t="str">
            <v>2 (Chicago)</v>
          </cell>
        </row>
        <row r="115">
          <cell r="A115">
            <v>61413</v>
          </cell>
          <cell r="B115" t="str">
            <v>2 (Chicago)</v>
          </cell>
        </row>
        <row r="116">
          <cell r="A116">
            <v>61414</v>
          </cell>
          <cell r="B116" t="str">
            <v>2 (Chicago)</v>
          </cell>
        </row>
        <row r="117">
          <cell r="A117">
            <v>61415</v>
          </cell>
          <cell r="B117" t="str">
            <v>3 (Springfield)</v>
          </cell>
        </row>
        <row r="118">
          <cell r="A118">
            <v>61416</v>
          </cell>
          <cell r="B118" t="str">
            <v>3 (Springfield)</v>
          </cell>
        </row>
        <row r="119">
          <cell r="A119">
            <v>61417</v>
          </cell>
          <cell r="B119" t="str">
            <v>2 (Chicago)</v>
          </cell>
        </row>
        <row r="120">
          <cell r="A120">
            <v>61418</v>
          </cell>
          <cell r="B120" t="str">
            <v>2 (Chicago)</v>
          </cell>
        </row>
        <row r="121">
          <cell r="A121">
            <v>61419</v>
          </cell>
          <cell r="B121" t="str">
            <v>2 (Chicago)</v>
          </cell>
        </row>
        <row r="122">
          <cell r="A122">
            <v>61420</v>
          </cell>
          <cell r="B122" t="str">
            <v>3 (Springfield)</v>
          </cell>
        </row>
        <row r="123">
          <cell r="A123">
            <v>61421</v>
          </cell>
          <cell r="B123" t="str">
            <v>2 (Chicago)</v>
          </cell>
        </row>
        <row r="124">
          <cell r="A124">
            <v>61422</v>
          </cell>
          <cell r="B124" t="str">
            <v>3 (Springfield)</v>
          </cell>
        </row>
        <row r="125">
          <cell r="A125">
            <v>61423</v>
          </cell>
          <cell r="B125" t="str">
            <v>2 (Chicago)</v>
          </cell>
        </row>
        <row r="126">
          <cell r="A126">
            <v>61424</v>
          </cell>
          <cell r="B126" t="str">
            <v>2 (Chicago)</v>
          </cell>
        </row>
        <row r="127">
          <cell r="A127">
            <v>61425</v>
          </cell>
          <cell r="B127" t="str">
            <v>2 (Chicago)</v>
          </cell>
        </row>
        <row r="128">
          <cell r="A128">
            <v>61426</v>
          </cell>
          <cell r="B128" t="str">
            <v>2 (Chicago)</v>
          </cell>
        </row>
        <row r="129">
          <cell r="A129">
            <v>61427</v>
          </cell>
          <cell r="B129" t="str">
            <v>3 (Springfield)</v>
          </cell>
        </row>
        <row r="130">
          <cell r="A130">
            <v>61428</v>
          </cell>
          <cell r="B130" t="str">
            <v>2 (Chicago)</v>
          </cell>
        </row>
        <row r="131">
          <cell r="A131">
            <v>61430</v>
          </cell>
          <cell r="B131" t="str">
            <v>2 (Chicago)</v>
          </cell>
        </row>
        <row r="132">
          <cell r="A132">
            <v>61431</v>
          </cell>
          <cell r="B132" t="str">
            <v>3 (Springfield)</v>
          </cell>
        </row>
        <row r="133">
          <cell r="A133">
            <v>61432</v>
          </cell>
          <cell r="B133" t="str">
            <v>3 (Springfield)</v>
          </cell>
        </row>
        <row r="134">
          <cell r="A134">
            <v>61433</v>
          </cell>
          <cell r="B134" t="str">
            <v>3 (Springfield)</v>
          </cell>
        </row>
        <row r="135">
          <cell r="A135">
            <v>61434</v>
          </cell>
          <cell r="B135" t="str">
            <v>2 (Chicago)</v>
          </cell>
        </row>
        <row r="136">
          <cell r="A136">
            <v>61435</v>
          </cell>
          <cell r="B136" t="str">
            <v>2 (Chicago)</v>
          </cell>
        </row>
        <row r="137">
          <cell r="A137">
            <v>61436</v>
          </cell>
          <cell r="B137" t="str">
            <v>2 (Chicago)</v>
          </cell>
        </row>
        <row r="138">
          <cell r="A138">
            <v>61437</v>
          </cell>
          <cell r="B138" t="str">
            <v>2 (Chicago)</v>
          </cell>
        </row>
        <row r="139">
          <cell r="A139">
            <v>61438</v>
          </cell>
          <cell r="B139" t="str">
            <v>3 (Springfield)</v>
          </cell>
        </row>
        <row r="140">
          <cell r="A140">
            <v>61439</v>
          </cell>
          <cell r="B140" t="str">
            <v>2 (Chicago)</v>
          </cell>
        </row>
        <row r="141">
          <cell r="A141">
            <v>61440</v>
          </cell>
          <cell r="B141" t="str">
            <v>3 (Springfield)</v>
          </cell>
        </row>
        <row r="142">
          <cell r="A142">
            <v>61441</v>
          </cell>
          <cell r="B142" t="str">
            <v>3 (Springfield)</v>
          </cell>
        </row>
        <row r="143">
          <cell r="A143">
            <v>61442</v>
          </cell>
          <cell r="B143" t="str">
            <v>2 (Chicago)</v>
          </cell>
        </row>
        <row r="144">
          <cell r="A144">
            <v>61443</v>
          </cell>
          <cell r="B144" t="str">
            <v>2 (Chicago)</v>
          </cell>
        </row>
        <row r="145">
          <cell r="A145">
            <v>61447</v>
          </cell>
          <cell r="B145" t="str">
            <v>2 (Chicago)</v>
          </cell>
        </row>
        <row r="146">
          <cell r="A146">
            <v>61448</v>
          </cell>
          <cell r="B146" t="str">
            <v>2 (Chicago)</v>
          </cell>
        </row>
        <row r="147">
          <cell r="A147">
            <v>61449</v>
          </cell>
          <cell r="B147" t="str">
            <v>2 (Chicago)</v>
          </cell>
        </row>
        <row r="148">
          <cell r="A148">
            <v>61450</v>
          </cell>
          <cell r="B148" t="str">
            <v>3 (Springfield)</v>
          </cell>
        </row>
        <row r="149">
          <cell r="A149">
            <v>61451</v>
          </cell>
          <cell r="B149" t="str">
            <v>2 (Chicago)</v>
          </cell>
        </row>
        <row r="150">
          <cell r="A150">
            <v>61452</v>
          </cell>
          <cell r="B150" t="str">
            <v>3 (Springfield)</v>
          </cell>
        </row>
        <row r="151">
          <cell r="A151">
            <v>61453</v>
          </cell>
          <cell r="B151" t="str">
            <v>2 (Chicago)</v>
          </cell>
        </row>
        <row r="152">
          <cell r="A152">
            <v>61454</v>
          </cell>
          <cell r="B152" t="str">
            <v>2 (Chicago)</v>
          </cell>
        </row>
        <row r="153">
          <cell r="A153">
            <v>61455</v>
          </cell>
          <cell r="B153" t="str">
            <v>3 (Springfield)</v>
          </cell>
        </row>
        <row r="154">
          <cell r="A154">
            <v>61458</v>
          </cell>
          <cell r="B154" t="str">
            <v>2 (Chicago)</v>
          </cell>
        </row>
        <row r="155">
          <cell r="A155">
            <v>61459</v>
          </cell>
          <cell r="B155" t="str">
            <v>3 (Springfield)</v>
          </cell>
        </row>
        <row r="156">
          <cell r="A156">
            <v>61460</v>
          </cell>
          <cell r="B156" t="str">
            <v>2 (Chicago)</v>
          </cell>
        </row>
        <row r="157">
          <cell r="A157">
            <v>61462</v>
          </cell>
          <cell r="B157" t="str">
            <v>2 (Chicago)</v>
          </cell>
        </row>
        <row r="158">
          <cell r="A158">
            <v>61465</v>
          </cell>
          <cell r="B158" t="str">
            <v>2 (Chicago)</v>
          </cell>
        </row>
        <row r="159">
          <cell r="A159">
            <v>61466</v>
          </cell>
          <cell r="B159" t="str">
            <v>2 (Chicago)</v>
          </cell>
        </row>
        <row r="160">
          <cell r="A160">
            <v>61467</v>
          </cell>
          <cell r="B160" t="str">
            <v>2 (Chicago)</v>
          </cell>
        </row>
        <row r="161">
          <cell r="A161">
            <v>61468</v>
          </cell>
          <cell r="B161" t="str">
            <v>2 (Chicago)</v>
          </cell>
        </row>
        <row r="162">
          <cell r="A162">
            <v>61469</v>
          </cell>
          <cell r="B162" t="str">
            <v>2 (Chicago)</v>
          </cell>
        </row>
        <row r="163">
          <cell r="A163">
            <v>61470</v>
          </cell>
          <cell r="B163" t="str">
            <v>3 (Springfield)</v>
          </cell>
        </row>
        <row r="164">
          <cell r="A164">
            <v>61471</v>
          </cell>
          <cell r="B164" t="str">
            <v>2 (Chicago)</v>
          </cell>
        </row>
        <row r="165">
          <cell r="A165">
            <v>61472</v>
          </cell>
          <cell r="B165" t="str">
            <v>2 (Chicago)</v>
          </cell>
        </row>
        <row r="166">
          <cell r="A166">
            <v>61473</v>
          </cell>
          <cell r="B166" t="str">
            <v>2 (Chicago)</v>
          </cell>
        </row>
        <row r="167">
          <cell r="A167">
            <v>61474</v>
          </cell>
          <cell r="B167" t="str">
            <v>2 (Chicago)</v>
          </cell>
        </row>
        <row r="168">
          <cell r="A168">
            <v>61475</v>
          </cell>
          <cell r="B168" t="str">
            <v>3 (Springfield)</v>
          </cell>
        </row>
        <row r="169">
          <cell r="A169">
            <v>61476</v>
          </cell>
          <cell r="B169" t="str">
            <v>2 (Chicago)</v>
          </cell>
        </row>
        <row r="170">
          <cell r="A170">
            <v>61477</v>
          </cell>
          <cell r="B170" t="str">
            <v>3 (Springfield)</v>
          </cell>
        </row>
        <row r="171">
          <cell r="A171">
            <v>61478</v>
          </cell>
          <cell r="B171" t="str">
            <v>2 (Chicago)</v>
          </cell>
        </row>
        <row r="172">
          <cell r="A172">
            <v>61479</v>
          </cell>
          <cell r="B172" t="str">
            <v>2 (Chicago)</v>
          </cell>
        </row>
        <row r="173">
          <cell r="A173">
            <v>61480</v>
          </cell>
          <cell r="B173" t="str">
            <v>2 (Chicago)</v>
          </cell>
        </row>
        <row r="174">
          <cell r="A174">
            <v>61482</v>
          </cell>
          <cell r="B174" t="str">
            <v>3 (Springfield)</v>
          </cell>
        </row>
        <row r="175">
          <cell r="A175">
            <v>61483</v>
          </cell>
          <cell r="B175" t="str">
            <v>2 (Chicago)</v>
          </cell>
        </row>
        <row r="176">
          <cell r="A176">
            <v>61484</v>
          </cell>
          <cell r="B176" t="str">
            <v>3 (Springfield)</v>
          </cell>
        </row>
        <row r="177">
          <cell r="A177">
            <v>61485</v>
          </cell>
          <cell r="B177" t="str">
            <v>2 (Chicago)</v>
          </cell>
        </row>
        <row r="178">
          <cell r="A178">
            <v>61486</v>
          </cell>
          <cell r="B178" t="str">
            <v>2 (Chicago)</v>
          </cell>
        </row>
        <row r="179">
          <cell r="A179">
            <v>61488</v>
          </cell>
          <cell r="B179" t="str">
            <v>2 (Chicago)</v>
          </cell>
        </row>
        <row r="180">
          <cell r="A180">
            <v>61489</v>
          </cell>
          <cell r="B180" t="str">
            <v>2 (Chicago)</v>
          </cell>
        </row>
        <row r="181">
          <cell r="A181">
            <v>61490</v>
          </cell>
          <cell r="B181" t="str">
            <v>2 (Chicago)</v>
          </cell>
        </row>
        <row r="182">
          <cell r="A182">
            <v>61491</v>
          </cell>
          <cell r="B182" t="str">
            <v>2 (Chicago)</v>
          </cell>
        </row>
        <row r="183">
          <cell r="A183">
            <v>61501</v>
          </cell>
          <cell r="B183" t="str">
            <v>3 (Springfield)</v>
          </cell>
        </row>
        <row r="184">
          <cell r="A184">
            <v>61516</v>
          </cell>
          <cell r="B184" t="str">
            <v>2 (Chicago)</v>
          </cell>
        </row>
        <row r="185">
          <cell r="A185">
            <v>61517</v>
          </cell>
          <cell r="B185" t="str">
            <v>2 (Chicago)</v>
          </cell>
        </row>
        <row r="186">
          <cell r="A186">
            <v>61519</v>
          </cell>
          <cell r="B186" t="str">
            <v>3 (Springfield)</v>
          </cell>
        </row>
        <row r="187">
          <cell r="A187">
            <v>61520</v>
          </cell>
          <cell r="B187" t="str">
            <v>3 (Springfield)</v>
          </cell>
        </row>
        <row r="188">
          <cell r="A188">
            <v>61523</v>
          </cell>
          <cell r="B188" t="str">
            <v>2 (Chicago)</v>
          </cell>
        </row>
        <row r="189">
          <cell r="A189">
            <v>61524</v>
          </cell>
          <cell r="B189" t="str">
            <v>3 (Springfield)</v>
          </cell>
        </row>
        <row r="190">
          <cell r="A190">
            <v>61525</v>
          </cell>
          <cell r="B190" t="str">
            <v>2 (Chicago)</v>
          </cell>
        </row>
        <row r="191">
          <cell r="A191">
            <v>61526</v>
          </cell>
          <cell r="B191" t="str">
            <v>2 (Chicago)</v>
          </cell>
        </row>
        <row r="192">
          <cell r="A192">
            <v>61528</v>
          </cell>
          <cell r="B192" t="str">
            <v>2 (Chicago)</v>
          </cell>
        </row>
        <row r="193">
          <cell r="A193">
            <v>61529</v>
          </cell>
          <cell r="B193" t="str">
            <v>2 (Chicago)</v>
          </cell>
        </row>
        <row r="194">
          <cell r="A194">
            <v>61530</v>
          </cell>
          <cell r="B194" t="str">
            <v>2 (Chicago)</v>
          </cell>
        </row>
        <row r="195">
          <cell r="A195">
            <v>61531</v>
          </cell>
          <cell r="B195" t="str">
            <v>3 (Springfield)</v>
          </cell>
        </row>
        <row r="196">
          <cell r="A196">
            <v>61532</v>
          </cell>
          <cell r="B196" t="str">
            <v>3 (Springfield)</v>
          </cell>
        </row>
        <row r="197">
          <cell r="A197">
            <v>61533</v>
          </cell>
          <cell r="B197" t="str">
            <v>2 (Chicago)</v>
          </cell>
        </row>
        <row r="198">
          <cell r="A198">
            <v>61534</v>
          </cell>
          <cell r="B198" t="str">
            <v>3 (Springfield)</v>
          </cell>
        </row>
        <row r="199">
          <cell r="A199">
            <v>61535</v>
          </cell>
          <cell r="B199" t="str">
            <v>3 (Springfield)</v>
          </cell>
        </row>
        <row r="200">
          <cell r="A200">
            <v>61536</v>
          </cell>
          <cell r="B200" t="str">
            <v>2 (Chicago)</v>
          </cell>
        </row>
        <row r="201">
          <cell r="A201">
            <v>61537</v>
          </cell>
          <cell r="B201" t="str">
            <v>2 (Chicago)</v>
          </cell>
        </row>
        <row r="202">
          <cell r="A202">
            <v>61539</v>
          </cell>
          <cell r="B202" t="str">
            <v>2 (Chicago)</v>
          </cell>
        </row>
        <row r="203">
          <cell r="A203">
            <v>61540</v>
          </cell>
          <cell r="B203" t="str">
            <v>2 (Chicago)</v>
          </cell>
        </row>
        <row r="204">
          <cell r="A204">
            <v>61541</v>
          </cell>
          <cell r="B204" t="str">
            <v>2 (Chicago)</v>
          </cell>
        </row>
        <row r="205">
          <cell r="A205">
            <v>61542</v>
          </cell>
          <cell r="B205" t="str">
            <v>3 (Springfield)</v>
          </cell>
        </row>
        <row r="206">
          <cell r="A206">
            <v>61543</v>
          </cell>
          <cell r="B206" t="str">
            <v>3 (Springfield)</v>
          </cell>
        </row>
        <row r="207">
          <cell r="A207">
            <v>61544</v>
          </cell>
          <cell r="B207" t="str">
            <v>3 (Springfield)</v>
          </cell>
        </row>
        <row r="208">
          <cell r="A208">
            <v>61545</v>
          </cell>
          <cell r="B208" t="str">
            <v>2 (Chicago)</v>
          </cell>
        </row>
        <row r="209">
          <cell r="A209">
            <v>61546</v>
          </cell>
          <cell r="B209" t="str">
            <v>3 (Springfield)</v>
          </cell>
        </row>
        <row r="210">
          <cell r="A210">
            <v>61547</v>
          </cell>
          <cell r="B210" t="str">
            <v>2 (Chicago)</v>
          </cell>
        </row>
        <row r="211">
          <cell r="A211">
            <v>61548</v>
          </cell>
          <cell r="B211" t="str">
            <v>2 (Chicago)</v>
          </cell>
        </row>
        <row r="212">
          <cell r="A212">
            <v>61550</v>
          </cell>
          <cell r="B212" t="str">
            <v>3 (Springfield)</v>
          </cell>
        </row>
        <row r="213">
          <cell r="A213">
            <v>61552</v>
          </cell>
          <cell r="B213" t="str">
            <v>2 (Chicago)</v>
          </cell>
        </row>
        <row r="214">
          <cell r="A214">
            <v>61553</v>
          </cell>
          <cell r="B214" t="str">
            <v>3 (Springfield)</v>
          </cell>
        </row>
        <row r="215">
          <cell r="A215">
            <v>61554</v>
          </cell>
          <cell r="B215" t="str">
            <v>3 (Springfield)</v>
          </cell>
        </row>
        <row r="216">
          <cell r="A216">
            <v>61555</v>
          </cell>
          <cell r="B216" t="str">
            <v>3 (Springfield)</v>
          </cell>
        </row>
        <row r="217">
          <cell r="A217">
            <v>61559</v>
          </cell>
          <cell r="B217" t="str">
            <v>2 (Chicago)</v>
          </cell>
        </row>
        <row r="218">
          <cell r="A218">
            <v>61560</v>
          </cell>
          <cell r="B218" t="str">
            <v>2 (Chicago)</v>
          </cell>
        </row>
        <row r="219">
          <cell r="A219">
            <v>61561</v>
          </cell>
          <cell r="B219" t="str">
            <v>2 (Chicago)</v>
          </cell>
        </row>
        <row r="220">
          <cell r="A220">
            <v>61563</v>
          </cell>
          <cell r="B220" t="str">
            <v>3 (Springfield)</v>
          </cell>
        </row>
        <row r="221">
          <cell r="A221">
            <v>61564</v>
          </cell>
          <cell r="B221" t="str">
            <v>3 (Springfield)</v>
          </cell>
        </row>
        <row r="222">
          <cell r="A222">
            <v>61565</v>
          </cell>
          <cell r="B222" t="str">
            <v>2 (Chicago)</v>
          </cell>
        </row>
        <row r="223">
          <cell r="A223">
            <v>61567</v>
          </cell>
          <cell r="B223" t="str">
            <v>3 (Springfield)</v>
          </cell>
        </row>
        <row r="224">
          <cell r="A224">
            <v>61568</v>
          </cell>
          <cell r="B224" t="str">
            <v>3 (Springfield)</v>
          </cell>
        </row>
        <row r="225">
          <cell r="A225">
            <v>61569</v>
          </cell>
          <cell r="B225" t="str">
            <v>2 (Chicago)</v>
          </cell>
        </row>
        <row r="226">
          <cell r="A226">
            <v>61570</v>
          </cell>
          <cell r="B226" t="str">
            <v>2 (Chicago)</v>
          </cell>
        </row>
        <row r="227">
          <cell r="A227">
            <v>61571</v>
          </cell>
          <cell r="B227" t="str">
            <v>3 (Springfield)</v>
          </cell>
        </row>
        <row r="228">
          <cell r="A228">
            <v>61572</v>
          </cell>
          <cell r="B228" t="str">
            <v>2 (Chicago)</v>
          </cell>
        </row>
        <row r="229">
          <cell r="A229">
            <v>61601</v>
          </cell>
          <cell r="B229" t="str">
            <v>2 (Chicago)</v>
          </cell>
        </row>
        <row r="230">
          <cell r="A230">
            <v>61602</v>
          </cell>
          <cell r="B230" t="str">
            <v>2 (Chicago)</v>
          </cell>
        </row>
        <row r="231">
          <cell r="A231">
            <v>61603</v>
          </cell>
          <cell r="B231" t="str">
            <v>2 (Chicago)</v>
          </cell>
        </row>
        <row r="232">
          <cell r="A232">
            <v>61604</v>
          </cell>
          <cell r="B232" t="str">
            <v>2 (Chicago)</v>
          </cell>
        </row>
        <row r="233">
          <cell r="A233">
            <v>61605</v>
          </cell>
          <cell r="B233" t="str">
            <v>2 (Chicago)</v>
          </cell>
        </row>
        <row r="234">
          <cell r="A234">
            <v>61606</v>
          </cell>
          <cell r="B234" t="str">
            <v>2 (Chicago)</v>
          </cell>
        </row>
        <row r="235">
          <cell r="A235">
            <v>61607</v>
          </cell>
          <cell r="B235" t="str">
            <v>2 (Chicago)</v>
          </cell>
        </row>
        <row r="236">
          <cell r="A236">
            <v>61610</v>
          </cell>
          <cell r="B236" t="str">
            <v>3 (Springfield)</v>
          </cell>
        </row>
        <row r="237">
          <cell r="A237">
            <v>61611</v>
          </cell>
          <cell r="B237" t="str">
            <v>3 (Springfield)</v>
          </cell>
        </row>
        <row r="238">
          <cell r="A238">
            <v>61612</v>
          </cell>
          <cell r="B238" t="str">
            <v>2 (Chicago)</v>
          </cell>
        </row>
        <row r="239">
          <cell r="A239">
            <v>61613</v>
          </cell>
          <cell r="B239" t="str">
            <v>2 (Chicago)</v>
          </cell>
        </row>
        <row r="240">
          <cell r="A240">
            <v>61614</v>
          </cell>
          <cell r="B240" t="str">
            <v>2 (Chicago)</v>
          </cell>
        </row>
        <row r="241">
          <cell r="A241">
            <v>61615</v>
          </cell>
          <cell r="B241" t="str">
            <v>2 (Chicago)</v>
          </cell>
        </row>
        <row r="242">
          <cell r="A242">
            <v>61616</v>
          </cell>
          <cell r="B242" t="str">
            <v>2 (Chicago)</v>
          </cell>
        </row>
        <row r="243">
          <cell r="A243">
            <v>61625</v>
          </cell>
          <cell r="B243" t="str">
            <v>2 (Chicago)</v>
          </cell>
        </row>
        <row r="244">
          <cell r="A244">
            <v>61629</v>
          </cell>
          <cell r="B244" t="str">
            <v>2 (Chicago)</v>
          </cell>
        </row>
        <row r="245">
          <cell r="A245">
            <v>61630</v>
          </cell>
          <cell r="B245" t="str">
            <v>2 (Chicago)</v>
          </cell>
        </row>
        <row r="246">
          <cell r="A246">
            <v>61634</v>
          </cell>
          <cell r="B246" t="str">
            <v>2 (Chicago)</v>
          </cell>
        </row>
        <row r="247">
          <cell r="A247">
            <v>61636</v>
          </cell>
          <cell r="B247" t="str">
            <v>2 (Chicago)</v>
          </cell>
        </row>
        <row r="248">
          <cell r="A248">
            <v>61637</v>
          </cell>
          <cell r="B248" t="str">
            <v>2 (Chicago)</v>
          </cell>
        </row>
        <row r="249">
          <cell r="A249">
            <v>61639</v>
          </cell>
          <cell r="B249" t="str">
            <v>2 (Chicago)</v>
          </cell>
        </row>
        <row r="250">
          <cell r="A250">
            <v>61641</v>
          </cell>
          <cell r="B250" t="str">
            <v>2 (Chicago)</v>
          </cell>
        </row>
        <row r="251">
          <cell r="A251">
            <v>61643</v>
          </cell>
          <cell r="B251" t="str">
            <v>2 (Chicago)</v>
          </cell>
        </row>
        <row r="252">
          <cell r="A252">
            <v>61654</v>
          </cell>
          <cell r="B252" t="str">
            <v>2 (Chicago)</v>
          </cell>
        </row>
        <row r="253">
          <cell r="A253">
            <v>61655</v>
          </cell>
          <cell r="B253" t="str">
            <v>2 (Chicago)</v>
          </cell>
        </row>
        <row r="254">
          <cell r="A254">
            <v>61656</v>
          </cell>
          <cell r="B254" t="str">
            <v>2 (Chicago)</v>
          </cell>
        </row>
        <row r="255">
          <cell r="A255">
            <v>61701</v>
          </cell>
          <cell r="B255" t="str">
            <v>3 (Springfield)</v>
          </cell>
        </row>
        <row r="256">
          <cell r="A256">
            <v>61702</v>
          </cell>
          <cell r="B256" t="str">
            <v>3 (Springfield)</v>
          </cell>
        </row>
        <row r="257">
          <cell r="A257">
            <v>61704</v>
          </cell>
          <cell r="B257" t="str">
            <v>3 (Springfield)</v>
          </cell>
        </row>
        <row r="258">
          <cell r="A258">
            <v>61705</v>
          </cell>
          <cell r="B258" t="str">
            <v>3 (Springfield)</v>
          </cell>
        </row>
        <row r="259">
          <cell r="A259">
            <v>61709</v>
          </cell>
          <cell r="B259" t="str">
            <v>3 (Springfield)</v>
          </cell>
        </row>
        <row r="260">
          <cell r="A260">
            <v>61710</v>
          </cell>
          <cell r="B260" t="str">
            <v>3 (Springfield)</v>
          </cell>
        </row>
        <row r="261">
          <cell r="A261">
            <v>61720</v>
          </cell>
          <cell r="B261" t="str">
            <v>3 (Springfield)</v>
          </cell>
        </row>
        <row r="262">
          <cell r="A262">
            <v>61721</v>
          </cell>
          <cell r="B262" t="str">
            <v>3 (Springfield)</v>
          </cell>
        </row>
        <row r="263">
          <cell r="A263">
            <v>61722</v>
          </cell>
          <cell r="B263" t="str">
            <v>3 (Springfield)</v>
          </cell>
        </row>
        <row r="264">
          <cell r="A264">
            <v>61723</v>
          </cell>
          <cell r="B264" t="str">
            <v>3 (Springfield)</v>
          </cell>
        </row>
        <row r="265">
          <cell r="A265">
            <v>61724</v>
          </cell>
          <cell r="B265" t="str">
            <v>3 (Springfield)</v>
          </cell>
        </row>
        <row r="266">
          <cell r="A266">
            <v>61725</v>
          </cell>
          <cell r="B266" t="str">
            <v>3 (Springfield)</v>
          </cell>
        </row>
        <row r="267">
          <cell r="A267">
            <v>61726</v>
          </cell>
          <cell r="B267" t="str">
            <v>3 (Springfield)</v>
          </cell>
        </row>
        <row r="268">
          <cell r="A268">
            <v>61727</v>
          </cell>
          <cell r="B268" t="str">
            <v>3 (Springfield)</v>
          </cell>
        </row>
        <row r="269">
          <cell r="A269">
            <v>61728</v>
          </cell>
          <cell r="B269" t="str">
            <v>3 (Springfield)</v>
          </cell>
        </row>
        <row r="270">
          <cell r="A270">
            <v>61729</v>
          </cell>
          <cell r="B270" t="str">
            <v>2 (Chicago)</v>
          </cell>
        </row>
        <row r="271">
          <cell r="A271">
            <v>61730</v>
          </cell>
          <cell r="B271" t="str">
            <v>3 (Springfield)</v>
          </cell>
        </row>
        <row r="272">
          <cell r="A272">
            <v>61731</v>
          </cell>
          <cell r="B272" t="str">
            <v>3 (Springfield)</v>
          </cell>
        </row>
        <row r="273">
          <cell r="A273">
            <v>61732</v>
          </cell>
          <cell r="B273" t="str">
            <v>3 (Springfield)</v>
          </cell>
        </row>
        <row r="274">
          <cell r="A274">
            <v>61733</v>
          </cell>
          <cell r="B274" t="str">
            <v>3 (Springfield)</v>
          </cell>
        </row>
        <row r="275">
          <cell r="A275">
            <v>61734</v>
          </cell>
          <cell r="B275" t="str">
            <v>3 (Springfield)</v>
          </cell>
        </row>
        <row r="276">
          <cell r="A276">
            <v>61735</v>
          </cell>
          <cell r="B276" t="str">
            <v>3 (Springfield)</v>
          </cell>
        </row>
        <row r="277">
          <cell r="A277">
            <v>61736</v>
          </cell>
          <cell r="B277" t="str">
            <v>3 (Springfield)</v>
          </cell>
        </row>
        <row r="278">
          <cell r="A278">
            <v>61737</v>
          </cell>
          <cell r="B278" t="str">
            <v>3 (Springfield)</v>
          </cell>
        </row>
        <row r="279">
          <cell r="A279">
            <v>61738</v>
          </cell>
          <cell r="B279" t="str">
            <v>2 (Chicago)</v>
          </cell>
        </row>
        <row r="280">
          <cell r="A280">
            <v>61739</v>
          </cell>
          <cell r="B280" t="str">
            <v>2 (Chicago)</v>
          </cell>
        </row>
        <row r="281">
          <cell r="A281">
            <v>61740</v>
          </cell>
          <cell r="B281" t="str">
            <v>2 (Chicago)</v>
          </cell>
        </row>
        <row r="282">
          <cell r="A282">
            <v>61741</v>
          </cell>
          <cell r="B282" t="str">
            <v>2 (Chicago)</v>
          </cell>
        </row>
        <row r="283">
          <cell r="A283">
            <v>61742</v>
          </cell>
          <cell r="B283" t="str">
            <v>2 (Chicago)</v>
          </cell>
        </row>
        <row r="284">
          <cell r="A284">
            <v>61743</v>
          </cell>
          <cell r="B284" t="str">
            <v>2 (Chicago)</v>
          </cell>
        </row>
        <row r="285">
          <cell r="A285">
            <v>61744</v>
          </cell>
          <cell r="B285" t="str">
            <v>3 (Springfield)</v>
          </cell>
        </row>
        <row r="286">
          <cell r="A286">
            <v>61745</v>
          </cell>
          <cell r="B286" t="str">
            <v>3 (Springfield)</v>
          </cell>
        </row>
        <row r="287">
          <cell r="A287">
            <v>61747</v>
          </cell>
          <cell r="B287" t="str">
            <v>3 (Springfield)</v>
          </cell>
        </row>
        <row r="288">
          <cell r="A288">
            <v>61748</v>
          </cell>
          <cell r="B288" t="str">
            <v>3 (Springfield)</v>
          </cell>
        </row>
        <row r="289">
          <cell r="A289">
            <v>61749</v>
          </cell>
          <cell r="B289" t="str">
            <v>3 (Springfield)</v>
          </cell>
        </row>
        <row r="290">
          <cell r="A290">
            <v>61750</v>
          </cell>
          <cell r="B290" t="str">
            <v>3 (Springfield)</v>
          </cell>
        </row>
        <row r="291">
          <cell r="A291">
            <v>61751</v>
          </cell>
          <cell r="B291" t="str">
            <v>3 (Springfield)</v>
          </cell>
        </row>
        <row r="292">
          <cell r="A292">
            <v>61752</v>
          </cell>
          <cell r="B292" t="str">
            <v>3 (Springfield)</v>
          </cell>
        </row>
        <row r="293">
          <cell r="A293">
            <v>61753</v>
          </cell>
          <cell r="B293" t="str">
            <v>3 (Springfield)</v>
          </cell>
        </row>
        <row r="294">
          <cell r="A294">
            <v>61754</v>
          </cell>
          <cell r="B294" t="str">
            <v>3 (Springfield)</v>
          </cell>
        </row>
        <row r="295">
          <cell r="A295">
            <v>61755</v>
          </cell>
          <cell r="B295" t="str">
            <v>3 (Springfield)</v>
          </cell>
        </row>
        <row r="296">
          <cell r="A296">
            <v>61756</v>
          </cell>
          <cell r="B296" t="str">
            <v>3 (Springfield)</v>
          </cell>
        </row>
        <row r="297">
          <cell r="A297">
            <v>61758</v>
          </cell>
          <cell r="B297" t="str">
            <v>3 (Springfield)</v>
          </cell>
        </row>
        <row r="298">
          <cell r="A298">
            <v>61759</v>
          </cell>
          <cell r="B298" t="str">
            <v>3 (Springfield)</v>
          </cell>
        </row>
        <row r="299">
          <cell r="A299">
            <v>61760</v>
          </cell>
          <cell r="B299" t="str">
            <v>2 (Chicago)</v>
          </cell>
        </row>
        <row r="300">
          <cell r="A300">
            <v>61761</v>
          </cell>
          <cell r="B300" t="str">
            <v>3 (Springfield)</v>
          </cell>
        </row>
        <row r="301">
          <cell r="A301">
            <v>61764</v>
          </cell>
          <cell r="B301" t="str">
            <v>2 (Chicago)</v>
          </cell>
        </row>
        <row r="302">
          <cell r="A302">
            <v>61770</v>
          </cell>
          <cell r="B302" t="str">
            <v>3 (Springfield)</v>
          </cell>
        </row>
        <row r="303">
          <cell r="A303">
            <v>61771</v>
          </cell>
          <cell r="B303" t="str">
            <v>2 (Chicago)</v>
          </cell>
        </row>
        <row r="304">
          <cell r="A304">
            <v>61772</v>
          </cell>
          <cell r="B304" t="str">
            <v>3 (Springfield)</v>
          </cell>
        </row>
        <row r="305">
          <cell r="A305">
            <v>61773</v>
          </cell>
          <cell r="B305" t="str">
            <v>3 (Springfield)</v>
          </cell>
        </row>
        <row r="306">
          <cell r="A306">
            <v>61774</v>
          </cell>
          <cell r="B306" t="str">
            <v>3 (Springfield)</v>
          </cell>
        </row>
        <row r="307">
          <cell r="A307">
            <v>61775</v>
          </cell>
          <cell r="B307" t="str">
            <v>2 (Chicago)</v>
          </cell>
        </row>
        <row r="308">
          <cell r="A308">
            <v>61776</v>
          </cell>
          <cell r="B308" t="str">
            <v>3 (Springfield)</v>
          </cell>
        </row>
        <row r="309">
          <cell r="A309">
            <v>61777</v>
          </cell>
          <cell r="B309" t="str">
            <v>3 (Springfield)</v>
          </cell>
        </row>
        <row r="310">
          <cell r="A310">
            <v>61778</v>
          </cell>
          <cell r="B310" t="str">
            <v>3 (Springfield)</v>
          </cell>
        </row>
        <row r="311">
          <cell r="A311">
            <v>61790</v>
          </cell>
          <cell r="B311" t="str">
            <v>3 (Springfield)</v>
          </cell>
        </row>
        <row r="312">
          <cell r="A312">
            <v>61791</v>
          </cell>
          <cell r="B312" t="str">
            <v>3 (Springfield)</v>
          </cell>
        </row>
        <row r="313">
          <cell r="A313">
            <v>61801</v>
          </cell>
          <cell r="B313" t="str">
            <v>3 (Springfield)</v>
          </cell>
        </row>
        <row r="314">
          <cell r="A314">
            <v>61802</v>
          </cell>
          <cell r="B314" t="str">
            <v>3 (Springfield)</v>
          </cell>
        </row>
        <row r="315">
          <cell r="A315">
            <v>61803</v>
          </cell>
          <cell r="B315" t="str">
            <v>3 (Springfield)</v>
          </cell>
        </row>
        <row r="316">
          <cell r="A316">
            <v>61810</v>
          </cell>
          <cell r="B316" t="str">
            <v>3 (Springfield)</v>
          </cell>
        </row>
        <row r="317">
          <cell r="A317">
            <v>61811</v>
          </cell>
          <cell r="B317" t="str">
            <v>3 (Springfield)</v>
          </cell>
        </row>
        <row r="318">
          <cell r="A318">
            <v>61812</v>
          </cell>
          <cell r="B318" t="str">
            <v>3 (Springfield)</v>
          </cell>
        </row>
        <row r="319">
          <cell r="A319">
            <v>61813</v>
          </cell>
          <cell r="B319" t="str">
            <v>3 (Springfield)</v>
          </cell>
        </row>
        <row r="320">
          <cell r="A320">
            <v>61814</v>
          </cell>
          <cell r="B320" t="str">
            <v>3 (Springfield)</v>
          </cell>
        </row>
        <row r="321">
          <cell r="A321">
            <v>61815</v>
          </cell>
          <cell r="B321" t="str">
            <v>3 (Springfield)</v>
          </cell>
        </row>
        <row r="322">
          <cell r="A322">
            <v>61816</v>
          </cell>
          <cell r="B322" t="str">
            <v>3 (Springfield)</v>
          </cell>
        </row>
        <row r="323">
          <cell r="A323">
            <v>61817</v>
          </cell>
          <cell r="B323" t="str">
            <v>3 (Springfield)</v>
          </cell>
        </row>
        <row r="324">
          <cell r="A324">
            <v>61818</v>
          </cell>
          <cell r="B324" t="str">
            <v>3 (Springfield)</v>
          </cell>
        </row>
        <row r="325">
          <cell r="A325">
            <v>61820</v>
          </cell>
          <cell r="B325" t="str">
            <v>3 (Springfield)</v>
          </cell>
        </row>
        <row r="326">
          <cell r="A326">
            <v>61821</v>
          </cell>
          <cell r="B326" t="str">
            <v>3 (Springfield)</v>
          </cell>
        </row>
        <row r="327">
          <cell r="A327">
            <v>61822</v>
          </cell>
          <cell r="B327" t="str">
            <v>3 (Springfield)</v>
          </cell>
        </row>
        <row r="328">
          <cell r="A328">
            <v>61824</v>
          </cell>
          <cell r="B328" t="str">
            <v>3 (Springfield)</v>
          </cell>
        </row>
        <row r="329">
          <cell r="A329">
            <v>61826</v>
          </cell>
          <cell r="B329" t="str">
            <v>3 (Springfield)</v>
          </cell>
        </row>
        <row r="330">
          <cell r="A330">
            <v>61830</v>
          </cell>
          <cell r="B330" t="str">
            <v>3 (Springfield)</v>
          </cell>
        </row>
        <row r="331">
          <cell r="A331">
            <v>61831</v>
          </cell>
          <cell r="B331" t="str">
            <v>3 (Springfield)</v>
          </cell>
        </row>
        <row r="332">
          <cell r="A332">
            <v>61832</v>
          </cell>
          <cell r="B332" t="str">
            <v>3 (Springfield)</v>
          </cell>
        </row>
        <row r="333">
          <cell r="A333">
            <v>61833</v>
          </cell>
          <cell r="B333" t="str">
            <v>3 (Springfield)</v>
          </cell>
        </row>
        <row r="334">
          <cell r="A334">
            <v>61834</v>
          </cell>
          <cell r="B334" t="str">
            <v>3 (Springfield)</v>
          </cell>
        </row>
        <row r="335">
          <cell r="A335">
            <v>61839</v>
          </cell>
          <cell r="B335" t="str">
            <v>3 (Springfield)</v>
          </cell>
        </row>
        <row r="336">
          <cell r="A336">
            <v>61840</v>
          </cell>
          <cell r="B336" t="str">
            <v>3 (Springfield)</v>
          </cell>
        </row>
        <row r="337">
          <cell r="A337">
            <v>61841</v>
          </cell>
          <cell r="B337" t="str">
            <v>3 (Springfield)</v>
          </cell>
        </row>
        <row r="338">
          <cell r="A338">
            <v>61842</v>
          </cell>
          <cell r="B338" t="str">
            <v>3 (Springfield)</v>
          </cell>
        </row>
        <row r="339">
          <cell r="A339">
            <v>61843</v>
          </cell>
          <cell r="B339" t="str">
            <v>3 (Springfield)</v>
          </cell>
        </row>
        <row r="340">
          <cell r="A340">
            <v>61844</v>
          </cell>
          <cell r="B340" t="str">
            <v>3 (Springfield)</v>
          </cell>
        </row>
        <row r="341">
          <cell r="A341">
            <v>61845</v>
          </cell>
          <cell r="B341" t="str">
            <v>3 (Springfield)</v>
          </cell>
        </row>
        <row r="342">
          <cell r="A342">
            <v>61846</v>
          </cell>
          <cell r="B342" t="str">
            <v>3 (Springfield)</v>
          </cell>
        </row>
        <row r="343">
          <cell r="A343">
            <v>61847</v>
          </cell>
          <cell r="B343" t="str">
            <v>3 (Springfield)</v>
          </cell>
        </row>
        <row r="344">
          <cell r="A344">
            <v>61848</v>
          </cell>
          <cell r="B344" t="str">
            <v>3 (Springfield)</v>
          </cell>
        </row>
        <row r="345">
          <cell r="A345">
            <v>61849</v>
          </cell>
          <cell r="B345" t="str">
            <v>3 (Springfield)</v>
          </cell>
        </row>
        <row r="346">
          <cell r="A346">
            <v>61850</v>
          </cell>
          <cell r="B346" t="str">
            <v>3 (Springfield)</v>
          </cell>
        </row>
        <row r="347">
          <cell r="A347">
            <v>61851</v>
          </cell>
          <cell r="B347" t="str">
            <v>3 (Springfield)</v>
          </cell>
        </row>
        <row r="348">
          <cell r="A348">
            <v>61852</v>
          </cell>
          <cell r="B348" t="str">
            <v>3 (Springfield)</v>
          </cell>
        </row>
        <row r="349">
          <cell r="A349">
            <v>61853</v>
          </cell>
          <cell r="B349" t="str">
            <v>3 (Springfield)</v>
          </cell>
        </row>
        <row r="350">
          <cell r="A350">
            <v>61854</v>
          </cell>
          <cell r="B350" t="str">
            <v>3 (Springfield)</v>
          </cell>
        </row>
        <row r="351">
          <cell r="A351">
            <v>61855</v>
          </cell>
          <cell r="B351" t="str">
            <v>3 (Springfield)</v>
          </cell>
        </row>
        <row r="352">
          <cell r="A352">
            <v>61856</v>
          </cell>
          <cell r="B352" t="str">
            <v>3 (Springfield)</v>
          </cell>
        </row>
        <row r="353">
          <cell r="A353">
            <v>61857</v>
          </cell>
          <cell r="B353" t="str">
            <v>3 (Springfield)</v>
          </cell>
        </row>
        <row r="354">
          <cell r="A354">
            <v>61858</v>
          </cell>
          <cell r="B354" t="str">
            <v>3 (Springfield)</v>
          </cell>
        </row>
        <row r="355">
          <cell r="A355">
            <v>61859</v>
          </cell>
          <cell r="B355" t="str">
            <v>3 (Springfield)</v>
          </cell>
        </row>
        <row r="356">
          <cell r="A356">
            <v>61862</v>
          </cell>
          <cell r="B356" t="str">
            <v>3 (Springfield)</v>
          </cell>
        </row>
        <row r="357">
          <cell r="A357">
            <v>61863</v>
          </cell>
          <cell r="B357" t="str">
            <v>3 (Springfield)</v>
          </cell>
        </row>
        <row r="358">
          <cell r="A358">
            <v>61864</v>
          </cell>
          <cell r="B358" t="str">
            <v>3 (Springfield)</v>
          </cell>
        </row>
        <row r="359">
          <cell r="A359">
            <v>61865</v>
          </cell>
          <cell r="B359" t="str">
            <v>3 (Springfield)</v>
          </cell>
        </row>
        <row r="360">
          <cell r="A360">
            <v>61866</v>
          </cell>
          <cell r="B360" t="str">
            <v>3 (Springfield)</v>
          </cell>
        </row>
        <row r="361">
          <cell r="A361">
            <v>61870</v>
          </cell>
          <cell r="B361" t="str">
            <v>3 (Springfield)</v>
          </cell>
        </row>
        <row r="362">
          <cell r="A362">
            <v>61871</v>
          </cell>
          <cell r="B362" t="str">
            <v>3 (Springfield)</v>
          </cell>
        </row>
        <row r="363">
          <cell r="A363">
            <v>61872</v>
          </cell>
          <cell r="B363" t="str">
            <v>3 (Springfield)</v>
          </cell>
        </row>
        <row r="364">
          <cell r="A364">
            <v>61873</v>
          </cell>
          <cell r="B364" t="str">
            <v>3 (Springfield)</v>
          </cell>
        </row>
        <row r="365">
          <cell r="A365">
            <v>61874</v>
          </cell>
          <cell r="B365" t="str">
            <v>3 (Springfield)</v>
          </cell>
        </row>
        <row r="366">
          <cell r="A366">
            <v>61875</v>
          </cell>
          <cell r="B366" t="str">
            <v>3 (Springfield)</v>
          </cell>
        </row>
        <row r="367">
          <cell r="A367">
            <v>61876</v>
          </cell>
          <cell r="B367" t="str">
            <v>3 (Springfield)</v>
          </cell>
        </row>
        <row r="368">
          <cell r="A368">
            <v>61877</v>
          </cell>
          <cell r="B368" t="str">
            <v>3 (Springfield)</v>
          </cell>
        </row>
        <row r="369">
          <cell r="A369">
            <v>61878</v>
          </cell>
          <cell r="B369" t="str">
            <v>3 (Springfield)</v>
          </cell>
        </row>
        <row r="370">
          <cell r="A370">
            <v>61880</v>
          </cell>
          <cell r="B370" t="str">
            <v>3 (Springfield)</v>
          </cell>
        </row>
        <row r="371">
          <cell r="A371">
            <v>61882</v>
          </cell>
          <cell r="B371" t="str">
            <v>3 (Springfield)</v>
          </cell>
        </row>
        <row r="372">
          <cell r="A372">
            <v>61883</v>
          </cell>
          <cell r="B372" t="str">
            <v>3 (Springfield)</v>
          </cell>
        </row>
        <row r="373">
          <cell r="A373">
            <v>61884</v>
          </cell>
          <cell r="B373" t="str">
            <v>3 (Springfield)</v>
          </cell>
        </row>
        <row r="374">
          <cell r="A374">
            <v>61910</v>
          </cell>
          <cell r="B374" t="str">
            <v>3 (Springfield)</v>
          </cell>
        </row>
        <row r="375">
          <cell r="A375">
            <v>61911</v>
          </cell>
          <cell r="B375" t="str">
            <v>3 (Springfield)</v>
          </cell>
        </row>
        <row r="376">
          <cell r="A376">
            <v>61912</v>
          </cell>
          <cell r="B376" t="str">
            <v>3 (Springfield)</v>
          </cell>
        </row>
        <row r="377">
          <cell r="A377">
            <v>61913</v>
          </cell>
          <cell r="B377" t="str">
            <v>3 (Springfield)</v>
          </cell>
        </row>
        <row r="378">
          <cell r="A378">
            <v>61914</v>
          </cell>
          <cell r="B378" t="str">
            <v>3 (Springfield)</v>
          </cell>
        </row>
        <row r="379">
          <cell r="A379">
            <v>61917</v>
          </cell>
          <cell r="B379" t="str">
            <v>3 (Springfield)</v>
          </cell>
        </row>
        <row r="380">
          <cell r="A380">
            <v>61919</v>
          </cell>
          <cell r="B380" t="str">
            <v>3 (Springfield)</v>
          </cell>
        </row>
        <row r="381">
          <cell r="A381">
            <v>61920</v>
          </cell>
          <cell r="B381" t="str">
            <v>3 (Springfield)</v>
          </cell>
        </row>
        <row r="382">
          <cell r="A382">
            <v>61924</v>
          </cell>
          <cell r="B382" t="str">
            <v>3 (Springfield)</v>
          </cell>
        </row>
        <row r="383">
          <cell r="A383">
            <v>61925</v>
          </cell>
          <cell r="B383" t="str">
            <v>3 (Springfield)</v>
          </cell>
        </row>
        <row r="384">
          <cell r="A384">
            <v>61928</v>
          </cell>
          <cell r="B384" t="str">
            <v>3 (Springfield)</v>
          </cell>
        </row>
        <row r="385">
          <cell r="A385">
            <v>61929</v>
          </cell>
          <cell r="B385" t="str">
            <v>3 (Springfield)</v>
          </cell>
        </row>
        <row r="386">
          <cell r="A386">
            <v>61930</v>
          </cell>
          <cell r="B386" t="str">
            <v>3 (Springfield)</v>
          </cell>
        </row>
        <row r="387">
          <cell r="A387">
            <v>61931</v>
          </cell>
          <cell r="B387" t="str">
            <v>3 (Springfield)</v>
          </cell>
        </row>
        <row r="388">
          <cell r="A388">
            <v>61932</v>
          </cell>
          <cell r="B388" t="str">
            <v>3 (Springfield)</v>
          </cell>
        </row>
        <row r="389">
          <cell r="A389">
            <v>61933</v>
          </cell>
          <cell r="B389" t="str">
            <v>3 (Springfield)</v>
          </cell>
        </row>
        <row r="390">
          <cell r="A390">
            <v>61936</v>
          </cell>
          <cell r="B390" t="str">
            <v>3 (Springfield)</v>
          </cell>
        </row>
        <row r="391">
          <cell r="A391">
            <v>61937</v>
          </cell>
          <cell r="B391" t="str">
            <v>3 (Springfield)</v>
          </cell>
        </row>
        <row r="392">
          <cell r="A392">
            <v>61938</v>
          </cell>
          <cell r="B392" t="str">
            <v>3 (Springfield)</v>
          </cell>
        </row>
        <row r="393">
          <cell r="A393">
            <v>61940</v>
          </cell>
          <cell r="B393" t="str">
            <v>3 (Springfield)</v>
          </cell>
        </row>
        <row r="394">
          <cell r="A394">
            <v>61941</v>
          </cell>
          <cell r="B394" t="str">
            <v>3 (Springfield)</v>
          </cell>
        </row>
        <row r="395">
          <cell r="A395">
            <v>61942</v>
          </cell>
          <cell r="B395" t="str">
            <v>3 (Springfield)</v>
          </cell>
        </row>
        <row r="396">
          <cell r="A396">
            <v>61943</v>
          </cell>
          <cell r="B396" t="str">
            <v>3 (Springfield)</v>
          </cell>
        </row>
        <row r="397">
          <cell r="A397">
            <v>61944</v>
          </cell>
          <cell r="B397" t="str">
            <v>3 (Springfield)</v>
          </cell>
        </row>
        <row r="398">
          <cell r="A398">
            <v>61949</v>
          </cell>
          <cell r="B398" t="str">
            <v>3 (Springfield)</v>
          </cell>
        </row>
        <row r="399">
          <cell r="A399">
            <v>61951</v>
          </cell>
          <cell r="B399" t="str">
            <v>3 (Springfield)</v>
          </cell>
        </row>
        <row r="400">
          <cell r="A400">
            <v>61953</v>
          </cell>
          <cell r="B400" t="str">
            <v>3 (Springfield)</v>
          </cell>
        </row>
        <row r="401">
          <cell r="A401">
            <v>61955</v>
          </cell>
          <cell r="B401" t="str">
            <v>3 (Springfield)</v>
          </cell>
        </row>
        <row r="402">
          <cell r="A402">
            <v>61956</v>
          </cell>
          <cell r="B402" t="str">
            <v>3 (Springfield)</v>
          </cell>
        </row>
        <row r="403">
          <cell r="A403">
            <v>61957</v>
          </cell>
          <cell r="B403" t="str">
            <v>3 (Springfield)</v>
          </cell>
        </row>
        <row r="404">
          <cell r="A404">
            <v>62001</v>
          </cell>
          <cell r="B404" t="str">
            <v>4 (Belleville)</v>
          </cell>
        </row>
        <row r="405">
          <cell r="A405">
            <v>62002</v>
          </cell>
          <cell r="B405" t="str">
            <v>4 (Belleville)</v>
          </cell>
        </row>
        <row r="406">
          <cell r="A406">
            <v>62006</v>
          </cell>
          <cell r="B406" t="str">
            <v>3 (Springfield)</v>
          </cell>
        </row>
        <row r="407">
          <cell r="A407">
            <v>62009</v>
          </cell>
          <cell r="B407" t="str">
            <v>3 (Springfield)</v>
          </cell>
        </row>
        <row r="408">
          <cell r="A408">
            <v>62010</v>
          </cell>
          <cell r="B408" t="str">
            <v>4 (Belleville)</v>
          </cell>
        </row>
        <row r="409">
          <cell r="A409">
            <v>62011</v>
          </cell>
          <cell r="B409" t="str">
            <v>3 (Springfield)</v>
          </cell>
        </row>
        <row r="410">
          <cell r="A410">
            <v>62012</v>
          </cell>
          <cell r="B410" t="str">
            <v>3 (Springfield)</v>
          </cell>
        </row>
        <row r="411">
          <cell r="A411">
            <v>62013</v>
          </cell>
          <cell r="B411" t="str">
            <v>3 (Springfield)</v>
          </cell>
        </row>
        <row r="412">
          <cell r="A412">
            <v>62014</v>
          </cell>
          <cell r="B412" t="str">
            <v>3 (Springfield)</v>
          </cell>
        </row>
        <row r="413">
          <cell r="A413">
            <v>62015</v>
          </cell>
          <cell r="B413" t="str">
            <v>3 (Springfield)</v>
          </cell>
        </row>
        <row r="414">
          <cell r="A414">
            <v>62016</v>
          </cell>
          <cell r="B414" t="str">
            <v>3 (Springfield)</v>
          </cell>
        </row>
        <row r="415">
          <cell r="A415">
            <v>62017</v>
          </cell>
          <cell r="B415" t="str">
            <v>3 (Springfield)</v>
          </cell>
        </row>
        <row r="416">
          <cell r="A416">
            <v>62018</v>
          </cell>
          <cell r="B416" t="str">
            <v>4 (Belleville)</v>
          </cell>
        </row>
        <row r="417">
          <cell r="A417">
            <v>62019</v>
          </cell>
          <cell r="B417" t="str">
            <v>3 (Springfield)</v>
          </cell>
        </row>
        <row r="418">
          <cell r="A418">
            <v>62021</v>
          </cell>
          <cell r="B418" t="str">
            <v>4 (Belleville)</v>
          </cell>
        </row>
        <row r="419">
          <cell r="A419">
            <v>62022</v>
          </cell>
          <cell r="B419" t="str">
            <v>3 (Springfield)</v>
          </cell>
        </row>
        <row r="420">
          <cell r="A420">
            <v>62023</v>
          </cell>
          <cell r="B420" t="str">
            <v>3 (Springfield)</v>
          </cell>
        </row>
        <row r="421">
          <cell r="A421">
            <v>62024</v>
          </cell>
          <cell r="B421" t="str">
            <v>4 (Belleville)</v>
          </cell>
        </row>
        <row r="422">
          <cell r="A422">
            <v>62025</v>
          </cell>
          <cell r="B422" t="str">
            <v>4 (Belleville)</v>
          </cell>
        </row>
        <row r="423">
          <cell r="A423">
            <v>62026</v>
          </cell>
          <cell r="B423" t="str">
            <v>4 (Belleville)</v>
          </cell>
        </row>
        <row r="424">
          <cell r="A424">
            <v>62027</v>
          </cell>
          <cell r="B424" t="str">
            <v>3 (Springfield)</v>
          </cell>
        </row>
        <row r="425">
          <cell r="A425">
            <v>62028</v>
          </cell>
          <cell r="B425" t="str">
            <v>3 (Springfield)</v>
          </cell>
        </row>
        <row r="426">
          <cell r="A426">
            <v>62030</v>
          </cell>
          <cell r="B426" t="str">
            <v>3 (Springfield)</v>
          </cell>
        </row>
        <row r="427">
          <cell r="A427">
            <v>62031</v>
          </cell>
          <cell r="B427" t="str">
            <v>3 (Springfield)</v>
          </cell>
        </row>
        <row r="428">
          <cell r="A428">
            <v>62032</v>
          </cell>
          <cell r="B428" t="str">
            <v>3 (Springfield)</v>
          </cell>
        </row>
        <row r="429">
          <cell r="A429">
            <v>62033</v>
          </cell>
          <cell r="B429" t="str">
            <v>3 (Springfield)</v>
          </cell>
        </row>
        <row r="430">
          <cell r="A430">
            <v>62034</v>
          </cell>
          <cell r="B430" t="str">
            <v>4 (Belleville)</v>
          </cell>
        </row>
        <row r="431">
          <cell r="A431">
            <v>62035</v>
          </cell>
          <cell r="B431" t="str">
            <v>4 (Belleville)</v>
          </cell>
        </row>
        <row r="432">
          <cell r="A432">
            <v>62037</v>
          </cell>
          <cell r="B432" t="str">
            <v>3 (Springfield)</v>
          </cell>
        </row>
        <row r="433">
          <cell r="A433">
            <v>62040</v>
          </cell>
          <cell r="B433" t="str">
            <v>4 (Belleville)</v>
          </cell>
        </row>
        <row r="434">
          <cell r="A434">
            <v>62044</v>
          </cell>
          <cell r="B434" t="str">
            <v>3 (Springfield)</v>
          </cell>
        </row>
        <row r="435">
          <cell r="A435">
            <v>62045</v>
          </cell>
          <cell r="B435" t="str">
            <v>3 (Springfield)</v>
          </cell>
        </row>
        <row r="436">
          <cell r="A436">
            <v>62046</v>
          </cell>
          <cell r="B436" t="str">
            <v>4 (Belleville)</v>
          </cell>
        </row>
        <row r="437">
          <cell r="A437">
            <v>62047</v>
          </cell>
          <cell r="B437" t="str">
            <v>3 (Springfield)</v>
          </cell>
        </row>
        <row r="438">
          <cell r="A438">
            <v>62048</v>
          </cell>
          <cell r="B438" t="str">
            <v>4 (Belleville)</v>
          </cell>
        </row>
        <row r="439">
          <cell r="A439">
            <v>62049</v>
          </cell>
          <cell r="B439" t="str">
            <v>3 (Springfield)</v>
          </cell>
        </row>
        <row r="440">
          <cell r="A440">
            <v>62050</v>
          </cell>
          <cell r="B440" t="str">
            <v>3 (Springfield)</v>
          </cell>
        </row>
        <row r="441">
          <cell r="A441">
            <v>62051</v>
          </cell>
          <cell r="B441" t="str">
            <v>3 (Springfield)</v>
          </cell>
        </row>
        <row r="442">
          <cell r="A442">
            <v>62052</v>
          </cell>
          <cell r="B442" t="str">
            <v>3 (Springfield)</v>
          </cell>
        </row>
        <row r="443">
          <cell r="A443">
            <v>62053</v>
          </cell>
          <cell r="B443" t="str">
            <v>3 (Springfield)</v>
          </cell>
        </row>
        <row r="444">
          <cell r="A444">
            <v>62054</v>
          </cell>
          <cell r="B444" t="str">
            <v>3 (Springfield)</v>
          </cell>
        </row>
        <row r="445">
          <cell r="A445">
            <v>62056</v>
          </cell>
          <cell r="B445" t="str">
            <v>3 (Springfield)</v>
          </cell>
        </row>
        <row r="446">
          <cell r="A446">
            <v>62058</v>
          </cell>
          <cell r="B446" t="str">
            <v>4 (Belleville)</v>
          </cell>
        </row>
        <row r="447">
          <cell r="A447">
            <v>62059</v>
          </cell>
          <cell r="B447" t="str">
            <v>4 (Belleville)</v>
          </cell>
        </row>
        <row r="448">
          <cell r="A448">
            <v>62060</v>
          </cell>
          <cell r="B448" t="str">
            <v>4 (Belleville)</v>
          </cell>
        </row>
        <row r="449">
          <cell r="A449">
            <v>62061</v>
          </cell>
          <cell r="B449" t="str">
            <v>4 (Belleville)</v>
          </cell>
        </row>
        <row r="450">
          <cell r="A450">
            <v>62062</v>
          </cell>
          <cell r="B450" t="str">
            <v>4 (Belleville)</v>
          </cell>
        </row>
        <row r="451">
          <cell r="A451">
            <v>62063</v>
          </cell>
          <cell r="B451" t="str">
            <v>3 (Springfield)</v>
          </cell>
        </row>
        <row r="452">
          <cell r="A452">
            <v>62065</v>
          </cell>
          <cell r="B452" t="str">
            <v>3 (Springfield)</v>
          </cell>
        </row>
        <row r="453">
          <cell r="A453">
            <v>62067</v>
          </cell>
          <cell r="B453" t="str">
            <v>4 (Belleville)</v>
          </cell>
        </row>
        <row r="454">
          <cell r="A454">
            <v>62069</v>
          </cell>
          <cell r="B454" t="str">
            <v>3 (Springfield)</v>
          </cell>
        </row>
        <row r="455">
          <cell r="A455">
            <v>62070</v>
          </cell>
          <cell r="B455" t="str">
            <v>3 (Springfield)</v>
          </cell>
        </row>
        <row r="456">
          <cell r="A456">
            <v>62071</v>
          </cell>
          <cell r="B456" t="str">
            <v>4 (Belleville)</v>
          </cell>
        </row>
        <row r="457">
          <cell r="A457">
            <v>62074</v>
          </cell>
          <cell r="B457" t="str">
            <v>4 (Belleville)</v>
          </cell>
        </row>
        <row r="458">
          <cell r="A458">
            <v>62075</v>
          </cell>
          <cell r="B458" t="str">
            <v>3 (Springfield)</v>
          </cell>
        </row>
        <row r="459">
          <cell r="A459">
            <v>62076</v>
          </cell>
          <cell r="B459" t="str">
            <v>3 (Springfield)</v>
          </cell>
        </row>
        <row r="460">
          <cell r="A460">
            <v>62077</v>
          </cell>
          <cell r="B460" t="str">
            <v>3 (Springfield)</v>
          </cell>
        </row>
        <row r="461">
          <cell r="A461">
            <v>62078</v>
          </cell>
          <cell r="B461" t="str">
            <v>3 (Springfield)</v>
          </cell>
        </row>
        <row r="462">
          <cell r="A462">
            <v>62079</v>
          </cell>
          <cell r="B462" t="str">
            <v>3 (Springfield)</v>
          </cell>
        </row>
        <row r="463">
          <cell r="A463">
            <v>62080</v>
          </cell>
          <cell r="B463" t="str">
            <v>3 (Springfield)</v>
          </cell>
        </row>
        <row r="464">
          <cell r="A464">
            <v>62081</v>
          </cell>
          <cell r="B464" t="str">
            <v>3 (Springfield)</v>
          </cell>
        </row>
        <row r="465">
          <cell r="A465">
            <v>62082</v>
          </cell>
          <cell r="B465" t="str">
            <v>3 (Springfield)</v>
          </cell>
        </row>
        <row r="466">
          <cell r="A466">
            <v>62083</v>
          </cell>
          <cell r="B466" t="str">
            <v>3 (Springfield)</v>
          </cell>
        </row>
        <row r="467">
          <cell r="A467">
            <v>62084</v>
          </cell>
          <cell r="B467" t="str">
            <v>4 (Belleville)</v>
          </cell>
        </row>
        <row r="468">
          <cell r="A468">
            <v>62085</v>
          </cell>
          <cell r="B468" t="str">
            <v>3 (Springfield)</v>
          </cell>
        </row>
        <row r="469">
          <cell r="A469">
            <v>62086</v>
          </cell>
          <cell r="B469" t="str">
            <v>3 (Springfield)</v>
          </cell>
        </row>
        <row r="470">
          <cell r="A470">
            <v>62087</v>
          </cell>
          <cell r="B470" t="str">
            <v>4 (Belleville)</v>
          </cell>
        </row>
        <row r="471">
          <cell r="A471">
            <v>62088</v>
          </cell>
          <cell r="B471" t="str">
            <v>3 (Springfield)</v>
          </cell>
        </row>
        <row r="472">
          <cell r="A472">
            <v>62089</v>
          </cell>
          <cell r="B472" t="str">
            <v>3 (Springfield)</v>
          </cell>
        </row>
        <row r="473">
          <cell r="A473">
            <v>62090</v>
          </cell>
          <cell r="B473" t="str">
            <v>4 (Belleville)</v>
          </cell>
        </row>
        <row r="474">
          <cell r="A474">
            <v>62091</v>
          </cell>
          <cell r="B474" t="str">
            <v>3 (Springfield)</v>
          </cell>
        </row>
        <row r="475">
          <cell r="A475">
            <v>62092</v>
          </cell>
          <cell r="B475" t="str">
            <v>3 (Springfield)</v>
          </cell>
        </row>
        <row r="476">
          <cell r="A476">
            <v>62093</v>
          </cell>
          <cell r="B476" t="str">
            <v>3 (Springfield)</v>
          </cell>
        </row>
        <row r="477">
          <cell r="A477">
            <v>62094</v>
          </cell>
          <cell r="B477" t="str">
            <v>3 (Springfield)</v>
          </cell>
        </row>
        <row r="478">
          <cell r="A478">
            <v>62095</v>
          </cell>
          <cell r="B478" t="str">
            <v>4 (Belleville)</v>
          </cell>
        </row>
        <row r="479">
          <cell r="A479">
            <v>62097</v>
          </cell>
          <cell r="B479" t="str">
            <v>4 (Belleville)</v>
          </cell>
        </row>
        <row r="480">
          <cell r="A480">
            <v>62098</v>
          </cell>
          <cell r="B480" t="str">
            <v>3 (Springfield)</v>
          </cell>
        </row>
        <row r="481">
          <cell r="A481">
            <v>62201</v>
          </cell>
          <cell r="B481" t="str">
            <v>4 (Belleville)</v>
          </cell>
        </row>
        <row r="482">
          <cell r="A482">
            <v>62202</v>
          </cell>
          <cell r="B482" t="str">
            <v>4 (Belleville)</v>
          </cell>
        </row>
        <row r="483">
          <cell r="A483">
            <v>62203</v>
          </cell>
          <cell r="B483" t="str">
            <v>4 (Belleville)</v>
          </cell>
        </row>
        <row r="484">
          <cell r="A484">
            <v>62204</v>
          </cell>
          <cell r="B484" t="str">
            <v>4 (Belleville)</v>
          </cell>
        </row>
        <row r="485">
          <cell r="A485">
            <v>62205</v>
          </cell>
          <cell r="B485" t="str">
            <v>4 (Belleville)</v>
          </cell>
        </row>
        <row r="486">
          <cell r="A486">
            <v>62206</v>
          </cell>
          <cell r="B486" t="str">
            <v>4 (Belleville)</v>
          </cell>
        </row>
        <row r="487">
          <cell r="A487">
            <v>62207</v>
          </cell>
          <cell r="B487" t="str">
            <v>4 (Belleville)</v>
          </cell>
        </row>
        <row r="488">
          <cell r="A488">
            <v>62208</v>
          </cell>
          <cell r="B488" t="str">
            <v>4 (Belleville)</v>
          </cell>
        </row>
        <row r="489">
          <cell r="A489">
            <v>62214</v>
          </cell>
          <cell r="B489" t="str">
            <v>4 (Belleville)</v>
          </cell>
        </row>
        <row r="490">
          <cell r="A490">
            <v>62215</v>
          </cell>
          <cell r="B490" t="str">
            <v>4 (Belleville)</v>
          </cell>
        </row>
        <row r="491">
          <cell r="A491">
            <v>62216</v>
          </cell>
          <cell r="B491" t="str">
            <v>4 (Belleville)</v>
          </cell>
        </row>
        <row r="492">
          <cell r="A492">
            <v>62217</v>
          </cell>
          <cell r="B492" t="str">
            <v>4 (Belleville)</v>
          </cell>
        </row>
        <row r="493">
          <cell r="A493">
            <v>62218</v>
          </cell>
          <cell r="B493" t="str">
            <v>4 (Belleville)</v>
          </cell>
        </row>
        <row r="494">
          <cell r="A494">
            <v>62219</v>
          </cell>
          <cell r="B494" t="str">
            <v>4 (Belleville)</v>
          </cell>
        </row>
        <row r="495">
          <cell r="A495">
            <v>62220</v>
          </cell>
          <cell r="B495" t="str">
            <v>4 (Belleville)</v>
          </cell>
        </row>
        <row r="496">
          <cell r="A496">
            <v>62221</v>
          </cell>
          <cell r="B496" t="str">
            <v>4 (Belleville)</v>
          </cell>
        </row>
        <row r="497">
          <cell r="A497">
            <v>62222</v>
          </cell>
          <cell r="B497" t="str">
            <v>4 (Belleville)</v>
          </cell>
        </row>
        <row r="498">
          <cell r="A498">
            <v>62223</v>
          </cell>
          <cell r="B498" t="str">
            <v>4 (Belleville)</v>
          </cell>
        </row>
        <row r="499">
          <cell r="A499">
            <v>62225</v>
          </cell>
          <cell r="B499" t="str">
            <v>4 (Belleville)</v>
          </cell>
        </row>
        <row r="500">
          <cell r="A500">
            <v>62226</v>
          </cell>
          <cell r="B500" t="str">
            <v>4 (Belleville)</v>
          </cell>
        </row>
        <row r="501">
          <cell r="A501">
            <v>62230</v>
          </cell>
          <cell r="B501" t="str">
            <v>4 (Belleville)</v>
          </cell>
        </row>
        <row r="502">
          <cell r="A502">
            <v>62231</v>
          </cell>
          <cell r="B502" t="str">
            <v>4 (Belleville)</v>
          </cell>
        </row>
        <row r="503">
          <cell r="A503">
            <v>62232</v>
          </cell>
          <cell r="B503" t="str">
            <v>4 (Belleville)</v>
          </cell>
        </row>
        <row r="504">
          <cell r="A504">
            <v>62233</v>
          </cell>
          <cell r="B504" t="str">
            <v>4 (Belleville)</v>
          </cell>
        </row>
        <row r="505">
          <cell r="A505">
            <v>62234</v>
          </cell>
          <cell r="B505" t="str">
            <v>4 (Belleville)</v>
          </cell>
        </row>
        <row r="506">
          <cell r="A506">
            <v>62236</v>
          </cell>
          <cell r="B506" t="str">
            <v>4 (Belleville)</v>
          </cell>
        </row>
        <row r="507">
          <cell r="A507">
            <v>62237</v>
          </cell>
          <cell r="B507" t="str">
            <v>4 (Belleville)</v>
          </cell>
        </row>
        <row r="508">
          <cell r="A508">
            <v>62238</v>
          </cell>
          <cell r="B508" t="str">
            <v>4 (Belleville)</v>
          </cell>
        </row>
        <row r="509">
          <cell r="A509">
            <v>62239</v>
          </cell>
          <cell r="B509" t="str">
            <v>4 (Belleville)</v>
          </cell>
        </row>
        <row r="510">
          <cell r="A510">
            <v>62240</v>
          </cell>
          <cell r="B510" t="str">
            <v>4 (Belleville)</v>
          </cell>
        </row>
        <row r="511">
          <cell r="A511">
            <v>62241</v>
          </cell>
          <cell r="B511" t="str">
            <v>4 (Belleville)</v>
          </cell>
        </row>
        <row r="512">
          <cell r="A512">
            <v>62242</v>
          </cell>
          <cell r="B512" t="str">
            <v>4 (Belleville)</v>
          </cell>
        </row>
        <row r="513">
          <cell r="A513">
            <v>62243</v>
          </cell>
          <cell r="B513" t="str">
            <v>4 (Belleville)</v>
          </cell>
        </row>
        <row r="514">
          <cell r="A514">
            <v>62244</v>
          </cell>
          <cell r="B514" t="str">
            <v>4 (Belleville)</v>
          </cell>
        </row>
        <row r="515">
          <cell r="A515">
            <v>62245</v>
          </cell>
          <cell r="B515" t="str">
            <v>4 (Belleville)</v>
          </cell>
        </row>
        <row r="516">
          <cell r="A516">
            <v>62246</v>
          </cell>
          <cell r="B516" t="str">
            <v>3 (Springfield)</v>
          </cell>
        </row>
        <row r="517">
          <cell r="A517">
            <v>62247</v>
          </cell>
          <cell r="B517" t="str">
            <v>3 (Springfield)</v>
          </cell>
        </row>
        <row r="518">
          <cell r="A518">
            <v>62248</v>
          </cell>
          <cell r="B518" t="str">
            <v>4 (Belleville)</v>
          </cell>
        </row>
        <row r="519">
          <cell r="A519">
            <v>62249</v>
          </cell>
          <cell r="B519" t="str">
            <v>4 (Belleville)</v>
          </cell>
        </row>
        <row r="520">
          <cell r="A520">
            <v>62250</v>
          </cell>
          <cell r="B520" t="str">
            <v>4 (Belleville)</v>
          </cell>
        </row>
        <row r="521">
          <cell r="A521">
            <v>62252</v>
          </cell>
          <cell r="B521" t="str">
            <v>4 (Belleville)</v>
          </cell>
        </row>
        <row r="522">
          <cell r="A522">
            <v>62253</v>
          </cell>
          <cell r="B522" t="str">
            <v>4 (Belleville)</v>
          </cell>
        </row>
        <row r="523">
          <cell r="A523">
            <v>62254</v>
          </cell>
          <cell r="B523" t="str">
            <v>4 (Belleville)</v>
          </cell>
        </row>
        <row r="524">
          <cell r="A524">
            <v>62255</v>
          </cell>
          <cell r="B524" t="str">
            <v>4 (Belleville)</v>
          </cell>
        </row>
        <row r="525">
          <cell r="A525">
            <v>62256</v>
          </cell>
          <cell r="B525" t="str">
            <v>4 (Belleville)</v>
          </cell>
        </row>
        <row r="526">
          <cell r="A526">
            <v>62257</v>
          </cell>
          <cell r="B526" t="str">
            <v>4 (Belleville)</v>
          </cell>
        </row>
        <row r="527">
          <cell r="A527">
            <v>62258</v>
          </cell>
          <cell r="B527" t="str">
            <v>4 (Belleville)</v>
          </cell>
        </row>
        <row r="528">
          <cell r="A528">
            <v>62259</v>
          </cell>
          <cell r="B528" t="str">
            <v>4 (Belleville)</v>
          </cell>
        </row>
        <row r="529">
          <cell r="A529">
            <v>62260</v>
          </cell>
          <cell r="B529" t="str">
            <v>4 (Belleville)</v>
          </cell>
        </row>
        <row r="530">
          <cell r="A530">
            <v>62261</v>
          </cell>
          <cell r="B530" t="str">
            <v>4 (Belleville)</v>
          </cell>
        </row>
        <row r="531">
          <cell r="A531">
            <v>62262</v>
          </cell>
          <cell r="B531" t="str">
            <v>3 (Springfield)</v>
          </cell>
        </row>
        <row r="532">
          <cell r="A532">
            <v>62263</v>
          </cell>
          <cell r="B532" t="str">
            <v>4 (Belleville)</v>
          </cell>
        </row>
        <row r="533">
          <cell r="A533">
            <v>62264</v>
          </cell>
          <cell r="B533" t="str">
            <v>4 (Belleville)</v>
          </cell>
        </row>
        <row r="534">
          <cell r="A534">
            <v>62265</v>
          </cell>
          <cell r="B534" t="str">
            <v>4 (Belleville)</v>
          </cell>
        </row>
        <row r="535">
          <cell r="A535">
            <v>62266</v>
          </cell>
          <cell r="B535" t="str">
            <v>4 (Belleville)</v>
          </cell>
        </row>
        <row r="536">
          <cell r="A536">
            <v>62268</v>
          </cell>
          <cell r="B536" t="str">
            <v>4 (Belleville)</v>
          </cell>
        </row>
        <row r="537">
          <cell r="A537">
            <v>62269</v>
          </cell>
          <cell r="B537" t="str">
            <v>4 (Belleville)</v>
          </cell>
        </row>
        <row r="538">
          <cell r="A538">
            <v>62271</v>
          </cell>
          <cell r="B538" t="str">
            <v>4 (Belleville)</v>
          </cell>
        </row>
        <row r="539">
          <cell r="A539">
            <v>62272</v>
          </cell>
          <cell r="B539" t="str">
            <v>4 (Belleville)</v>
          </cell>
        </row>
        <row r="540">
          <cell r="A540">
            <v>62273</v>
          </cell>
          <cell r="B540" t="str">
            <v>3 (Springfield)</v>
          </cell>
        </row>
        <row r="541">
          <cell r="A541">
            <v>62274</v>
          </cell>
          <cell r="B541" t="str">
            <v>4 (Belleville)</v>
          </cell>
        </row>
        <row r="542">
          <cell r="A542">
            <v>62275</v>
          </cell>
          <cell r="B542" t="str">
            <v>3 (Springfield)</v>
          </cell>
        </row>
        <row r="543">
          <cell r="A543">
            <v>62277</v>
          </cell>
          <cell r="B543" t="str">
            <v>4 (Belleville)</v>
          </cell>
        </row>
        <row r="544">
          <cell r="A544">
            <v>62278</v>
          </cell>
          <cell r="B544" t="str">
            <v>4 (Belleville)</v>
          </cell>
        </row>
        <row r="545">
          <cell r="A545">
            <v>62279</v>
          </cell>
          <cell r="B545" t="str">
            <v>4 (Belleville)</v>
          </cell>
        </row>
        <row r="546">
          <cell r="A546">
            <v>62280</v>
          </cell>
          <cell r="B546" t="str">
            <v>4 (Belleville)</v>
          </cell>
        </row>
        <row r="547">
          <cell r="A547">
            <v>62281</v>
          </cell>
          <cell r="B547" t="str">
            <v>4 (Belleville)</v>
          </cell>
        </row>
        <row r="548">
          <cell r="A548">
            <v>62282</v>
          </cell>
          <cell r="B548" t="str">
            <v>4 (Belleville)</v>
          </cell>
        </row>
        <row r="549">
          <cell r="A549">
            <v>62284</v>
          </cell>
          <cell r="B549" t="str">
            <v>3 (Springfield)</v>
          </cell>
        </row>
        <row r="550">
          <cell r="A550">
            <v>62285</v>
          </cell>
          <cell r="B550" t="str">
            <v>4 (Belleville)</v>
          </cell>
        </row>
        <row r="551">
          <cell r="A551">
            <v>62286</v>
          </cell>
          <cell r="B551" t="str">
            <v>4 (Belleville)</v>
          </cell>
        </row>
        <row r="552">
          <cell r="A552">
            <v>62288</v>
          </cell>
          <cell r="B552" t="str">
            <v>4 (Belleville)</v>
          </cell>
        </row>
        <row r="553">
          <cell r="A553">
            <v>62289</v>
          </cell>
          <cell r="B553" t="str">
            <v>4 (Belleville)</v>
          </cell>
        </row>
        <row r="554">
          <cell r="A554">
            <v>62292</v>
          </cell>
          <cell r="B554" t="str">
            <v>4 (Belleville)</v>
          </cell>
        </row>
        <row r="555">
          <cell r="A555">
            <v>62293</v>
          </cell>
          <cell r="B555" t="str">
            <v>4 (Belleville)</v>
          </cell>
        </row>
        <row r="556">
          <cell r="A556">
            <v>62294</v>
          </cell>
          <cell r="B556" t="str">
            <v>4 (Belleville)</v>
          </cell>
        </row>
        <row r="557">
          <cell r="A557">
            <v>62295</v>
          </cell>
          <cell r="B557" t="str">
            <v>4 (Belleville)</v>
          </cell>
        </row>
        <row r="558">
          <cell r="A558">
            <v>62297</v>
          </cell>
          <cell r="B558" t="str">
            <v>4 (Belleville)</v>
          </cell>
        </row>
        <row r="559">
          <cell r="A559">
            <v>62298</v>
          </cell>
          <cell r="B559" t="str">
            <v>4 (Belleville)</v>
          </cell>
        </row>
        <row r="560">
          <cell r="A560">
            <v>62301</v>
          </cell>
          <cell r="B560" t="str">
            <v>3 (Springfield)</v>
          </cell>
        </row>
        <row r="561">
          <cell r="A561">
            <v>62305</v>
          </cell>
          <cell r="B561" t="str">
            <v>3 (Springfield)</v>
          </cell>
        </row>
        <row r="562">
          <cell r="A562">
            <v>62306</v>
          </cell>
          <cell r="B562" t="str">
            <v>3 (Springfield)</v>
          </cell>
        </row>
        <row r="563">
          <cell r="A563">
            <v>62310</v>
          </cell>
          <cell r="B563" t="str">
            <v>3 (Springfield)</v>
          </cell>
        </row>
        <row r="564">
          <cell r="A564">
            <v>62311</v>
          </cell>
          <cell r="B564" t="str">
            <v>3 (Springfield)</v>
          </cell>
        </row>
        <row r="565">
          <cell r="A565">
            <v>62312</v>
          </cell>
          <cell r="B565" t="str">
            <v>3 (Springfield)</v>
          </cell>
        </row>
        <row r="566">
          <cell r="A566">
            <v>62313</v>
          </cell>
          <cell r="B566" t="str">
            <v>3 (Springfield)</v>
          </cell>
        </row>
        <row r="567">
          <cell r="A567">
            <v>62314</v>
          </cell>
          <cell r="B567" t="str">
            <v>3 (Springfield)</v>
          </cell>
        </row>
        <row r="568">
          <cell r="A568">
            <v>62316</v>
          </cell>
          <cell r="B568" t="str">
            <v>3 (Springfield)</v>
          </cell>
        </row>
        <row r="569">
          <cell r="A569">
            <v>62319</v>
          </cell>
          <cell r="B569" t="str">
            <v>3 (Springfield)</v>
          </cell>
        </row>
        <row r="570">
          <cell r="A570">
            <v>62320</v>
          </cell>
          <cell r="B570" t="str">
            <v>3 (Springfield)</v>
          </cell>
        </row>
        <row r="571">
          <cell r="A571">
            <v>62321</v>
          </cell>
          <cell r="B571" t="str">
            <v>3 (Springfield)</v>
          </cell>
        </row>
        <row r="572">
          <cell r="A572">
            <v>62323</v>
          </cell>
          <cell r="B572" t="str">
            <v>3 (Springfield)</v>
          </cell>
        </row>
        <row r="573">
          <cell r="A573">
            <v>62324</v>
          </cell>
          <cell r="B573" t="str">
            <v>3 (Springfield)</v>
          </cell>
        </row>
        <row r="574">
          <cell r="A574">
            <v>62325</v>
          </cell>
          <cell r="B574" t="str">
            <v>3 (Springfield)</v>
          </cell>
        </row>
        <row r="575">
          <cell r="A575">
            <v>62326</v>
          </cell>
          <cell r="B575" t="str">
            <v>3 (Springfield)</v>
          </cell>
        </row>
        <row r="576">
          <cell r="A576">
            <v>62329</v>
          </cell>
          <cell r="B576" t="str">
            <v>3 (Springfield)</v>
          </cell>
        </row>
        <row r="577">
          <cell r="A577">
            <v>62330</v>
          </cell>
          <cell r="B577" t="str">
            <v>3 (Springfield)</v>
          </cell>
        </row>
        <row r="578">
          <cell r="A578">
            <v>62334</v>
          </cell>
          <cell r="B578" t="str">
            <v>3 (Springfield)</v>
          </cell>
        </row>
        <row r="579">
          <cell r="A579">
            <v>62336</v>
          </cell>
          <cell r="B579" t="str">
            <v>3 (Springfield)</v>
          </cell>
        </row>
        <row r="580">
          <cell r="A580">
            <v>62338</v>
          </cell>
          <cell r="B580" t="str">
            <v>3 (Springfield)</v>
          </cell>
        </row>
        <row r="581">
          <cell r="A581">
            <v>62339</v>
          </cell>
          <cell r="B581" t="str">
            <v>3 (Springfield)</v>
          </cell>
        </row>
        <row r="582">
          <cell r="A582">
            <v>62340</v>
          </cell>
          <cell r="B582" t="str">
            <v>3 (Springfield)</v>
          </cell>
        </row>
        <row r="583">
          <cell r="A583">
            <v>62341</v>
          </cell>
          <cell r="B583" t="str">
            <v>3 (Springfield)</v>
          </cell>
        </row>
        <row r="584">
          <cell r="A584">
            <v>62343</v>
          </cell>
          <cell r="B584" t="str">
            <v>3 (Springfield)</v>
          </cell>
        </row>
        <row r="585">
          <cell r="A585">
            <v>62344</v>
          </cell>
          <cell r="B585" t="str">
            <v>3 (Springfield)</v>
          </cell>
        </row>
        <row r="586">
          <cell r="A586">
            <v>62345</v>
          </cell>
          <cell r="B586" t="str">
            <v>3 (Springfield)</v>
          </cell>
        </row>
        <row r="587">
          <cell r="A587">
            <v>62346</v>
          </cell>
          <cell r="B587" t="str">
            <v>3 (Springfield)</v>
          </cell>
        </row>
        <row r="588">
          <cell r="A588">
            <v>62347</v>
          </cell>
          <cell r="B588" t="str">
            <v>3 (Springfield)</v>
          </cell>
        </row>
        <row r="589">
          <cell r="A589">
            <v>62348</v>
          </cell>
          <cell r="B589" t="str">
            <v>3 (Springfield)</v>
          </cell>
        </row>
        <row r="590">
          <cell r="A590">
            <v>62349</v>
          </cell>
          <cell r="B590" t="str">
            <v>3 (Springfield)</v>
          </cell>
        </row>
        <row r="591">
          <cell r="A591">
            <v>62351</v>
          </cell>
          <cell r="B591" t="str">
            <v>3 (Springfield)</v>
          </cell>
        </row>
        <row r="592">
          <cell r="A592">
            <v>62352</v>
          </cell>
          <cell r="B592" t="str">
            <v>3 (Springfield)</v>
          </cell>
        </row>
        <row r="593">
          <cell r="A593">
            <v>62353</v>
          </cell>
          <cell r="B593" t="str">
            <v>3 (Springfield)</v>
          </cell>
        </row>
        <row r="594">
          <cell r="A594">
            <v>62354</v>
          </cell>
          <cell r="B594" t="str">
            <v>3 (Springfield)</v>
          </cell>
        </row>
        <row r="595">
          <cell r="A595">
            <v>62355</v>
          </cell>
          <cell r="B595" t="str">
            <v>3 (Springfield)</v>
          </cell>
        </row>
        <row r="596">
          <cell r="A596">
            <v>62356</v>
          </cell>
          <cell r="B596" t="str">
            <v>3 (Springfield)</v>
          </cell>
        </row>
        <row r="597">
          <cell r="A597">
            <v>62357</v>
          </cell>
          <cell r="B597" t="str">
            <v>3 (Springfield)</v>
          </cell>
        </row>
        <row r="598">
          <cell r="A598">
            <v>62358</v>
          </cell>
          <cell r="B598" t="str">
            <v>3 (Springfield)</v>
          </cell>
        </row>
        <row r="599">
          <cell r="A599">
            <v>62359</v>
          </cell>
          <cell r="B599" t="str">
            <v>3 (Springfield)</v>
          </cell>
        </row>
        <row r="600">
          <cell r="A600">
            <v>62360</v>
          </cell>
          <cell r="B600" t="str">
            <v>3 (Springfield)</v>
          </cell>
        </row>
        <row r="601">
          <cell r="A601">
            <v>62361</v>
          </cell>
          <cell r="B601" t="str">
            <v>3 (Springfield)</v>
          </cell>
        </row>
        <row r="602">
          <cell r="A602">
            <v>62362</v>
          </cell>
          <cell r="B602" t="str">
            <v>3 (Springfield)</v>
          </cell>
        </row>
        <row r="603">
          <cell r="A603">
            <v>62363</v>
          </cell>
          <cell r="B603" t="str">
            <v>3 (Springfield)</v>
          </cell>
        </row>
        <row r="604">
          <cell r="A604">
            <v>62365</v>
          </cell>
          <cell r="B604" t="str">
            <v>3 (Springfield)</v>
          </cell>
        </row>
        <row r="605">
          <cell r="A605">
            <v>62366</v>
          </cell>
          <cell r="B605" t="str">
            <v>3 (Springfield)</v>
          </cell>
        </row>
        <row r="606">
          <cell r="A606">
            <v>62367</v>
          </cell>
          <cell r="B606" t="str">
            <v>3 (Springfield)</v>
          </cell>
        </row>
        <row r="607">
          <cell r="A607">
            <v>62370</v>
          </cell>
          <cell r="B607" t="str">
            <v>3 (Springfield)</v>
          </cell>
        </row>
        <row r="608">
          <cell r="A608">
            <v>62373</v>
          </cell>
          <cell r="B608" t="str">
            <v>3 (Springfield)</v>
          </cell>
        </row>
        <row r="609">
          <cell r="A609">
            <v>62374</v>
          </cell>
          <cell r="B609" t="str">
            <v>3 (Springfield)</v>
          </cell>
        </row>
        <row r="610">
          <cell r="A610">
            <v>62375</v>
          </cell>
          <cell r="B610" t="str">
            <v>3 (Springfield)</v>
          </cell>
        </row>
        <row r="611">
          <cell r="A611">
            <v>62376</v>
          </cell>
          <cell r="B611" t="str">
            <v>3 (Springfield)</v>
          </cell>
        </row>
        <row r="612">
          <cell r="A612">
            <v>62378</v>
          </cell>
          <cell r="B612" t="str">
            <v>3 (Springfield)</v>
          </cell>
        </row>
        <row r="613">
          <cell r="A613">
            <v>62379</v>
          </cell>
          <cell r="B613" t="str">
            <v>3 (Springfield)</v>
          </cell>
        </row>
        <row r="614">
          <cell r="A614">
            <v>62380</v>
          </cell>
          <cell r="B614" t="str">
            <v>3 (Springfield)</v>
          </cell>
        </row>
        <row r="615">
          <cell r="A615">
            <v>62401</v>
          </cell>
          <cell r="B615" t="str">
            <v>3 (Springfield)</v>
          </cell>
        </row>
        <row r="616">
          <cell r="A616">
            <v>62411</v>
          </cell>
          <cell r="B616" t="str">
            <v>3 (Springfield)</v>
          </cell>
        </row>
        <row r="617">
          <cell r="A617">
            <v>62413</v>
          </cell>
          <cell r="B617" t="str">
            <v>3 (Springfield)</v>
          </cell>
        </row>
        <row r="618">
          <cell r="A618">
            <v>62414</v>
          </cell>
          <cell r="B618" t="str">
            <v>3 (Springfield)</v>
          </cell>
        </row>
        <row r="619">
          <cell r="A619">
            <v>62415</v>
          </cell>
          <cell r="B619" t="str">
            <v>3 (Springfield)</v>
          </cell>
        </row>
        <row r="620">
          <cell r="A620">
            <v>62417</v>
          </cell>
          <cell r="B620" t="str">
            <v>4 (Belleville)</v>
          </cell>
        </row>
        <row r="621">
          <cell r="A621">
            <v>62418</v>
          </cell>
          <cell r="B621" t="str">
            <v>3 (Springfield)</v>
          </cell>
        </row>
        <row r="622">
          <cell r="A622">
            <v>62419</v>
          </cell>
          <cell r="B622" t="str">
            <v>4 (Belleville)</v>
          </cell>
        </row>
        <row r="623">
          <cell r="A623">
            <v>62420</v>
          </cell>
          <cell r="B623" t="str">
            <v>3 (Springfield)</v>
          </cell>
        </row>
        <row r="624">
          <cell r="A624">
            <v>62421</v>
          </cell>
          <cell r="B624" t="str">
            <v>4 (Belleville)</v>
          </cell>
        </row>
        <row r="625">
          <cell r="A625">
            <v>62422</v>
          </cell>
          <cell r="B625" t="str">
            <v>3 (Springfield)</v>
          </cell>
        </row>
        <row r="626">
          <cell r="A626">
            <v>62424</v>
          </cell>
          <cell r="B626" t="str">
            <v>3 (Springfield)</v>
          </cell>
        </row>
        <row r="627">
          <cell r="A627">
            <v>62425</v>
          </cell>
          <cell r="B627" t="str">
            <v>4 (Belleville)</v>
          </cell>
        </row>
        <row r="628">
          <cell r="A628">
            <v>62426</v>
          </cell>
          <cell r="B628" t="str">
            <v>3 (Springfield)</v>
          </cell>
        </row>
        <row r="629">
          <cell r="A629">
            <v>62427</v>
          </cell>
          <cell r="B629" t="str">
            <v>3 (Springfield)</v>
          </cell>
        </row>
        <row r="630">
          <cell r="A630">
            <v>62428</v>
          </cell>
          <cell r="B630" t="str">
            <v>3 (Springfield)</v>
          </cell>
        </row>
        <row r="631">
          <cell r="A631">
            <v>62431</v>
          </cell>
          <cell r="B631" t="str">
            <v>3 (Springfield)</v>
          </cell>
        </row>
        <row r="632">
          <cell r="A632">
            <v>62432</v>
          </cell>
          <cell r="B632" t="str">
            <v>3 (Springfield)</v>
          </cell>
        </row>
        <row r="633">
          <cell r="A633">
            <v>62433</v>
          </cell>
          <cell r="B633" t="str">
            <v>3 (Springfield)</v>
          </cell>
        </row>
        <row r="634">
          <cell r="A634">
            <v>62434</v>
          </cell>
          <cell r="B634" t="str">
            <v>3 (Springfield)</v>
          </cell>
        </row>
        <row r="635">
          <cell r="A635">
            <v>62435</v>
          </cell>
          <cell r="B635" t="str">
            <v>3 (Springfield)</v>
          </cell>
        </row>
        <row r="636">
          <cell r="A636">
            <v>62436</v>
          </cell>
          <cell r="B636" t="str">
            <v>3 (Springfield)</v>
          </cell>
        </row>
        <row r="637">
          <cell r="A637">
            <v>62438</v>
          </cell>
          <cell r="B637" t="str">
            <v>3 (Springfield)</v>
          </cell>
        </row>
        <row r="638">
          <cell r="A638">
            <v>62439</v>
          </cell>
          <cell r="B638" t="str">
            <v>4 (Belleville)</v>
          </cell>
        </row>
        <row r="639">
          <cell r="A639">
            <v>62440</v>
          </cell>
          <cell r="B639" t="str">
            <v>3 (Springfield)</v>
          </cell>
        </row>
        <row r="640">
          <cell r="A640">
            <v>62441</v>
          </cell>
          <cell r="B640" t="str">
            <v>3 (Springfield)</v>
          </cell>
        </row>
        <row r="641">
          <cell r="A641">
            <v>62442</v>
          </cell>
          <cell r="B641" t="str">
            <v>3 (Springfield)</v>
          </cell>
        </row>
        <row r="642">
          <cell r="A642">
            <v>62443</v>
          </cell>
          <cell r="B642" t="str">
            <v>3 (Springfield)</v>
          </cell>
        </row>
        <row r="643">
          <cell r="A643">
            <v>62445</v>
          </cell>
          <cell r="B643" t="str">
            <v>3 (Springfield)</v>
          </cell>
        </row>
        <row r="644">
          <cell r="A644">
            <v>62446</v>
          </cell>
          <cell r="B644" t="str">
            <v>4 (Belleville)</v>
          </cell>
        </row>
        <row r="645">
          <cell r="A645">
            <v>62447</v>
          </cell>
          <cell r="B645" t="str">
            <v>3 (Springfield)</v>
          </cell>
        </row>
        <row r="646">
          <cell r="A646">
            <v>62448</v>
          </cell>
          <cell r="B646" t="str">
            <v>3 (Springfield)</v>
          </cell>
        </row>
        <row r="647">
          <cell r="A647">
            <v>62449</v>
          </cell>
          <cell r="B647" t="str">
            <v>3 (Springfield)</v>
          </cell>
        </row>
        <row r="648">
          <cell r="A648">
            <v>62450</v>
          </cell>
          <cell r="B648" t="str">
            <v>4 (Belleville)</v>
          </cell>
        </row>
        <row r="649">
          <cell r="A649">
            <v>62451</v>
          </cell>
          <cell r="B649" t="str">
            <v>3 (Springfield)</v>
          </cell>
        </row>
        <row r="650">
          <cell r="A650">
            <v>62452</v>
          </cell>
          <cell r="B650" t="str">
            <v>4 (Belleville)</v>
          </cell>
        </row>
        <row r="651">
          <cell r="A651">
            <v>62454</v>
          </cell>
          <cell r="B651" t="str">
            <v>3 (Springfield)</v>
          </cell>
        </row>
        <row r="652">
          <cell r="A652">
            <v>62458</v>
          </cell>
          <cell r="B652" t="str">
            <v>3 (Springfield)</v>
          </cell>
        </row>
        <row r="653">
          <cell r="A653">
            <v>62459</v>
          </cell>
          <cell r="B653" t="str">
            <v>3 (Springfield)</v>
          </cell>
        </row>
        <row r="654">
          <cell r="A654">
            <v>62460</v>
          </cell>
          <cell r="B654" t="str">
            <v>4 (Belleville)</v>
          </cell>
        </row>
        <row r="655">
          <cell r="A655">
            <v>62461</v>
          </cell>
          <cell r="B655" t="str">
            <v>3 (Springfield)</v>
          </cell>
        </row>
        <row r="656">
          <cell r="A656">
            <v>62462</v>
          </cell>
          <cell r="B656" t="str">
            <v>3 (Springfield)</v>
          </cell>
        </row>
        <row r="657">
          <cell r="A657">
            <v>62463</v>
          </cell>
          <cell r="B657" t="str">
            <v>3 (Springfield)</v>
          </cell>
        </row>
        <row r="658">
          <cell r="A658">
            <v>62464</v>
          </cell>
          <cell r="B658" t="str">
            <v>3 (Springfield)</v>
          </cell>
        </row>
        <row r="659">
          <cell r="A659">
            <v>62465</v>
          </cell>
          <cell r="B659" t="str">
            <v>3 (Springfield)</v>
          </cell>
        </row>
        <row r="660">
          <cell r="A660">
            <v>62466</v>
          </cell>
          <cell r="B660" t="str">
            <v>4 (Belleville)</v>
          </cell>
        </row>
        <row r="661">
          <cell r="A661">
            <v>62467</v>
          </cell>
          <cell r="B661" t="str">
            <v>3 (Springfield)</v>
          </cell>
        </row>
        <row r="662">
          <cell r="A662">
            <v>62468</v>
          </cell>
          <cell r="B662" t="str">
            <v>3 (Springfield)</v>
          </cell>
        </row>
        <row r="663">
          <cell r="A663">
            <v>62469</v>
          </cell>
          <cell r="B663" t="str">
            <v>3 (Springfield)</v>
          </cell>
        </row>
        <row r="664">
          <cell r="A664">
            <v>62471</v>
          </cell>
          <cell r="B664" t="str">
            <v>3 (Springfield)</v>
          </cell>
        </row>
        <row r="665">
          <cell r="A665">
            <v>62473</v>
          </cell>
          <cell r="B665" t="str">
            <v>3 (Springfield)</v>
          </cell>
        </row>
        <row r="666">
          <cell r="A666">
            <v>62474</v>
          </cell>
          <cell r="B666" t="str">
            <v>3 (Springfield)</v>
          </cell>
        </row>
        <row r="667">
          <cell r="A667">
            <v>62475</v>
          </cell>
          <cell r="B667" t="str">
            <v>3 (Springfield)</v>
          </cell>
        </row>
        <row r="668">
          <cell r="A668">
            <v>62476</v>
          </cell>
          <cell r="B668" t="str">
            <v>4 (Belleville)</v>
          </cell>
        </row>
        <row r="669">
          <cell r="A669">
            <v>62477</v>
          </cell>
          <cell r="B669" t="str">
            <v>3 (Springfield)</v>
          </cell>
        </row>
        <row r="670">
          <cell r="A670">
            <v>62478</v>
          </cell>
          <cell r="B670" t="str">
            <v>3 (Springfield)</v>
          </cell>
        </row>
        <row r="671">
          <cell r="A671">
            <v>62479</v>
          </cell>
          <cell r="B671" t="str">
            <v>3 (Springfield)</v>
          </cell>
        </row>
        <row r="672">
          <cell r="A672">
            <v>62480</v>
          </cell>
          <cell r="B672" t="str">
            <v>3 (Springfield)</v>
          </cell>
        </row>
        <row r="673">
          <cell r="A673">
            <v>62481</v>
          </cell>
          <cell r="B673" t="str">
            <v>3 (Springfield)</v>
          </cell>
        </row>
        <row r="674">
          <cell r="A674">
            <v>62501</v>
          </cell>
          <cell r="B674" t="str">
            <v>3 (Springfield)</v>
          </cell>
        </row>
        <row r="675">
          <cell r="A675">
            <v>62510</v>
          </cell>
          <cell r="B675" t="str">
            <v>3 (Springfield)</v>
          </cell>
        </row>
        <row r="676">
          <cell r="A676">
            <v>62512</v>
          </cell>
          <cell r="B676" t="str">
            <v>3 (Springfield)</v>
          </cell>
        </row>
        <row r="677">
          <cell r="A677">
            <v>62513</v>
          </cell>
          <cell r="B677" t="str">
            <v>3 (Springfield)</v>
          </cell>
        </row>
        <row r="678">
          <cell r="A678">
            <v>62514</v>
          </cell>
          <cell r="B678" t="str">
            <v>3 (Springfield)</v>
          </cell>
        </row>
        <row r="679">
          <cell r="A679">
            <v>62515</v>
          </cell>
          <cell r="B679" t="str">
            <v>3 (Springfield)</v>
          </cell>
        </row>
        <row r="680">
          <cell r="A680">
            <v>62517</v>
          </cell>
          <cell r="B680" t="str">
            <v>3 (Springfield)</v>
          </cell>
        </row>
        <row r="681">
          <cell r="A681">
            <v>62518</v>
          </cell>
          <cell r="B681" t="str">
            <v>3 (Springfield)</v>
          </cell>
        </row>
        <row r="682">
          <cell r="A682">
            <v>62519</v>
          </cell>
          <cell r="B682" t="str">
            <v>3 (Springfield)</v>
          </cell>
        </row>
        <row r="683">
          <cell r="A683">
            <v>62520</v>
          </cell>
          <cell r="B683" t="str">
            <v>3 (Springfield)</v>
          </cell>
        </row>
        <row r="684">
          <cell r="A684">
            <v>62521</v>
          </cell>
          <cell r="B684" t="str">
            <v>3 (Springfield)</v>
          </cell>
        </row>
        <row r="685">
          <cell r="A685">
            <v>62522</v>
          </cell>
          <cell r="B685" t="str">
            <v>3 (Springfield)</v>
          </cell>
        </row>
        <row r="686">
          <cell r="A686">
            <v>62523</v>
          </cell>
          <cell r="B686" t="str">
            <v>3 (Springfield)</v>
          </cell>
        </row>
        <row r="687">
          <cell r="A687">
            <v>62524</v>
          </cell>
          <cell r="B687" t="str">
            <v>3 (Springfield)</v>
          </cell>
        </row>
        <row r="688">
          <cell r="A688">
            <v>62525</v>
          </cell>
          <cell r="B688" t="str">
            <v>3 (Springfield)</v>
          </cell>
        </row>
        <row r="689">
          <cell r="A689">
            <v>62526</v>
          </cell>
          <cell r="B689" t="str">
            <v>3 (Springfield)</v>
          </cell>
        </row>
        <row r="690">
          <cell r="A690">
            <v>62530</v>
          </cell>
          <cell r="B690" t="str">
            <v>3 (Springfield)</v>
          </cell>
        </row>
        <row r="691">
          <cell r="A691">
            <v>62531</v>
          </cell>
          <cell r="B691" t="str">
            <v>3 (Springfield)</v>
          </cell>
        </row>
        <row r="692">
          <cell r="A692">
            <v>62532</v>
          </cell>
          <cell r="B692" t="str">
            <v>3 (Springfield)</v>
          </cell>
        </row>
        <row r="693">
          <cell r="A693">
            <v>62533</v>
          </cell>
          <cell r="B693" t="str">
            <v>3 (Springfield)</v>
          </cell>
        </row>
        <row r="694">
          <cell r="A694">
            <v>62534</v>
          </cell>
          <cell r="B694" t="str">
            <v>3 (Springfield)</v>
          </cell>
        </row>
        <row r="695">
          <cell r="A695">
            <v>62535</v>
          </cell>
          <cell r="B695" t="str">
            <v>3 (Springfield)</v>
          </cell>
        </row>
        <row r="696">
          <cell r="A696">
            <v>62536</v>
          </cell>
          <cell r="B696" t="str">
            <v>3 (Springfield)</v>
          </cell>
        </row>
        <row r="697">
          <cell r="A697">
            <v>62537</v>
          </cell>
          <cell r="B697" t="str">
            <v>3 (Springfield)</v>
          </cell>
        </row>
        <row r="698">
          <cell r="A698">
            <v>62538</v>
          </cell>
          <cell r="B698" t="str">
            <v>3 (Springfield)</v>
          </cell>
        </row>
        <row r="699">
          <cell r="A699">
            <v>62539</v>
          </cell>
          <cell r="B699" t="str">
            <v>3 (Springfield)</v>
          </cell>
        </row>
        <row r="700">
          <cell r="A700">
            <v>62540</v>
          </cell>
          <cell r="B700" t="str">
            <v>3 (Springfield)</v>
          </cell>
        </row>
        <row r="701">
          <cell r="A701">
            <v>62541</v>
          </cell>
          <cell r="B701" t="str">
            <v>3 (Springfield)</v>
          </cell>
        </row>
        <row r="702">
          <cell r="A702">
            <v>62543</v>
          </cell>
          <cell r="B702" t="str">
            <v>3 (Springfield)</v>
          </cell>
        </row>
        <row r="703">
          <cell r="A703">
            <v>62544</v>
          </cell>
          <cell r="B703" t="str">
            <v>3 (Springfield)</v>
          </cell>
        </row>
        <row r="704">
          <cell r="A704">
            <v>62545</v>
          </cell>
          <cell r="B704" t="str">
            <v>3 (Springfield)</v>
          </cell>
        </row>
        <row r="705">
          <cell r="A705">
            <v>62546</v>
          </cell>
          <cell r="B705" t="str">
            <v>3 (Springfield)</v>
          </cell>
        </row>
        <row r="706">
          <cell r="A706">
            <v>62547</v>
          </cell>
          <cell r="B706" t="str">
            <v>3 (Springfield)</v>
          </cell>
        </row>
        <row r="707">
          <cell r="A707">
            <v>62548</v>
          </cell>
          <cell r="B707" t="str">
            <v>3 (Springfield)</v>
          </cell>
        </row>
        <row r="708">
          <cell r="A708">
            <v>62549</v>
          </cell>
          <cell r="B708" t="str">
            <v>3 (Springfield)</v>
          </cell>
        </row>
        <row r="709">
          <cell r="A709">
            <v>62550</v>
          </cell>
          <cell r="B709" t="str">
            <v>3 (Springfield)</v>
          </cell>
        </row>
        <row r="710">
          <cell r="A710">
            <v>62551</v>
          </cell>
          <cell r="B710" t="str">
            <v>3 (Springfield)</v>
          </cell>
        </row>
        <row r="711">
          <cell r="A711">
            <v>62553</v>
          </cell>
          <cell r="B711" t="str">
            <v>3 (Springfield)</v>
          </cell>
        </row>
        <row r="712">
          <cell r="A712">
            <v>62554</v>
          </cell>
          <cell r="B712" t="str">
            <v>3 (Springfield)</v>
          </cell>
        </row>
        <row r="713">
          <cell r="A713">
            <v>62555</v>
          </cell>
          <cell r="B713" t="str">
            <v>3 (Springfield)</v>
          </cell>
        </row>
        <row r="714">
          <cell r="A714">
            <v>62556</v>
          </cell>
          <cell r="B714" t="str">
            <v>3 (Springfield)</v>
          </cell>
        </row>
        <row r="715">
          <cell r="A715">
            <v>62557</v>
          </cell>
          <cell r="B715" t="str">
            <v>3 (Springfield)</v>
          </cell>
        </row>
        <row r="716">
          <cell r="A716">
            <v>62558</v>
          </cell>
          <cell r="B716" t="str">
            <v>3 (Springfield)</v>
          </cell>
        </row>
        <row r="717">
          <cell r="A717">
            <v>62560</v>
          </cell>
          <cell r="B717" t="str">
            <v>3 (Springfield)</v>
          </cell>
        </row>
        <row r="718">
          <cell r="A718">
            <v>62561</v>
          </cell>
          <cell r="B718" t="str">
            <v>3 (Springfield)</v>
          </cell>
        </row>
        <row r="719">
          <cell r="A719">
            <v>62563</v>
          </cell>
          <cell r="B719" t="str">
            <v>3 (Springfield)</v>
          </cell>
        </row>
        <row r="720">
          <cell r="A720">
            <v>62565</v>
          </cell>
          <cell r="B720" t="str">
            <v>3 (Springfield)</v>
          </cell>
        </row>
        <row r="721">
          <cell r="A721">
            <v>62567</v>
          </cell>
          <cell r="B721" t="str">
            <v>3 (Springfield)</v>
          </cell>
        </row>
        <row r="722">
          <cell r="A722">
            <v>62568</v>
          </cell>
          <cell r="B722" t="str">
            <v>3 (Springfield)</v>
          </cell>
        </row>
        <row r="723">
          <cell r="A723">
            <v>62570</v>
          </cell>
          <cell r="B723" t="str">
            <v>3 (Springfield)</v>
          </cell>
        </row>
        <row r="724">
          <cell r="A724">
            <v>62571</v>
          </cell>
          <cell r="B724" t="str">
            <v>3 (Springfield)</v>
          </cell>
        </row>
        <row r="725">
          <cell r="A725">
            <v>62572</v>
          </cell>
          <cell r="B725" t="str">
            <v>3 (Springfield)</v>
          </cell>
        </row>
        <row r="726">
          <cell r="A726">
            <v>62573</v>
          </cell>
          <cell r="B726" t="str">
            <v>3 (Springfield)</v>
          </cell>
        </row>
        <row r="727">
          <cell r="A727">
            <v>62601</v>
          </cell>
          <cell r="B727" t="str">
            <v>3 (Springfield)</v>
          </cell>
        </row>
        <row r="728">
          <cell r="A728">
            <v>62610</v>
          </cell>
          <cell r="B728" t="str">
            <v>3 (Springfield)</v>
          </cell>
        </row>
        <row r="729">
          <cell r="A729">
            <v>62611</v>
          </cell>
          <cell r="B729" t="str">
            <v>3 (Springfield)</v>
          </cell>
        </row>
        <row r="730">
          <cell r="A730">
            <v>62612</v>
          </cell>
          <cell r="B730" t="str">
            <v>3 (Springfield)</v>
          </cell>
        </row>
        <row r="731">
          <cell r="A731">
            <v>62613</v>
          </cell>
          <cell r="B731" t="str">
            <v>3 (Springfield)</v>
          </cell>
        </row>
        <row r="732">
          <cell r="A732">
            <v>62615</v>
          </cell>
          <cell r="B732" t="str">
            <v>3 (Springfield)</v>
          </cell>
        </row>
        <row r="733">
          <cell r="A733">
            <v>62617</v>
          </cell>
          <cell r="B733" t="str">
            <v>3 (Springfield)</v>
          </cell>
        </row>
        <row r="734">
          <cell r="A734">
            <v>62618</v>
          </cell>
          <cell r="B734" t="str">
            <v>3 (Springfield)</v>
          </cell>
        </row>
        <row r="735">
          <cell r="A735">
            <v>62621</v>
          </cell>
          <cell r="B735" t="str">
            <v>3 (Springfield)</v>
          </cell>
        </row>
        <row r="736">
          <cell r="A736">
            <v>62622</v>
          </cell>
          <cell r="B736" t="str">
            <v>3 (Springfield)</v>
          </cell>
        </row>
        <row r="737">
          <cell r="A737">
            <v>62624</v>
          </cell>
          <cell r="B737" t="str">
            <v>3 (Springfield)</v>
          </cell>
        </row>
        <row r="738">
          <cell r="A738">
            <v>62625</v>
          </cell>
          <cell r="B738" t="str">
            <v>3 (Springfield)</v>
          </cell>
        </row>
        <row r="739">
          <cell r="A739">
            <v>62626</v>
          </cell>
          <cell r="B739" t="str">
            <v>3 (Springfield)</v>
          </cell>
        </row>
        <row r="740">
          <cell r="A740">
            <v>62627</v>
          </cell>
          <cell r="B740" t="str">
            <v>3 (Springfield)</v>
          </cell>
        </row>
        <row r="741">
          <cell r="A741">
            <v>62628</v>
          </cell>
          <cell r="B741" t="str">
            <v>3 (Springfield)</v>
          </cell>
        </row>
        <row r="742">
          <cell r="A742">
            <v>62629</v>
          </cell>
          <cell r="B742" t="str">
            <v>3 (Springfield)</v>
          </cell>
        </row>
        <row r="743">
          <cell r="A743">
            <v>62630</v>
          </cell>
          <cell r="B743" t="str">
            <v>3 (Springfield)</v>
          </cell>
        </row>
        <row r="744">
          <cell r="A744">
            <v>62631</v>
          </cell>
          <cell r="B744" t="str">
            <v>3 (Springfield)</v>
          </cell>
        </row>
        <row r="745">
          <cell r="A745">
            <v>62633</v>
          </cell>
          <cell r="B745" t="str">
            <v>3 (Springfield)</v>
          </cell>
        </row>
        <row r="746">
          <cell r="A746">
            <v>62634</v>
          </cell>
          <cell r="B746" t="str">
            <v>3 (Springfield)</v>
          </cell>
        </row>
        <row r="747">
          <cell r="A747">
            <v>62635</v>
          </cell>
          <cell r="B747" t="str">
            <v>3 (Springfield)</v>
          </cell>
        </row>
        <row r="748">
          <cell r="A748">
            <v>62638</v>
          </cell>
          <cell r="B748" t="str">
            <v>3 (Springfield)</v>
          </cell>
        </row>
        <row r="749">
          <cell r="A749">
            <v>62639</v>
          </cell>
          <cell r="B749" t="str">
            <v>3 (Springfield)</v>
          </cell>
        </row>
        <row r="750">
          <cell r="A750">
            <v>62640</v>
          </cell>
          <cell r="B750" t="str">
            <v>3 (Springfield)</v>
          </cell>
        </row>
        <row r="751">
          <cell r="A751">
            <v>62642</v>
          </cell>
          <cell r="B751" t="str">
            <v>3 (Springfield)</v>
          </cell>
        </row>
        <row r="752">
          <cell r="A752">
            <v>62643</v>
          </cell>
          <cell r="B752" t="str">
            <v>3 (Springfield)</v>
          </cell>
        </row>
        <row r="753">
          <cell r="A753">
            <v>62644</v>
          </cell>
          <cell r="B753" t="str">
            <v>3 (Springfield)</v>
          </cell>
        </row>
        <row r="754">
          <cell r="A754">
            <v>62649</v>
          </cell>
          <cell r="B754" t="str">
            <v>3 (Springfield)</v>
          </cell>
        </row>
        <row r="755">
          <cell r="A755">
            <v>62650</v>
          </cell>
          <cell r="B755" t="str">
            <v>3 (Springfield)</v>
          </cell>
        </row>
        <row r="756">
          <cell r="A756">
            <v>62651</v>
          </cell>
          <cell r="B756" t="str">
            <v>3 (Springfield)</v>
          </cell>
        </row>
        <row r="757">
          <cell r="A757">
            <v>62655</v>
          </cell>
          <cell r="B757" t="str">
            <v>3 (Springfield)</v>
          </cell>
        </row>
        <row r="758">
          <cell r="A758">
            <v>62656</v>
          </cell>
          <cell r="B758" t="str">
            <v>3 (Springfield)</v>
          </cell>
        </row>
        <row r="759">
          <cell r="A759">
            <v>62659</v>
          </cell>
          <cell r="B759" t="str">
            <v>3 (Springfield)</v>
          </cell>
        </row>
        <row r="760">
          <cell r="A760">
            <v>62660</v>
          </cell>
          <cell r="B760" t="str">
            <v>3 (Springfield)</v>
          </cell>
        </row>
        <row r="761">
          <cell r="A761">
            <v>62661</v>
          </cell>
          <cell r="B761" t="str">
            <v>3 (Springfield)</v>
          </cell>
        </row>
        <row r="762">
          <cell r="A762">
            <v>62662</v>
          </cell>
          <cell r="B762" t="str">
            <v>3 (Springfield)</v>
          </cell>
        </row>
        <row r="763">
          <cell r="A763">
            <v>62663</v>
          </cell>
          <cell r="B763" t="str">
            <v>3 (Springfield)</v>
          </cell>
        </row>
        <row r="764">
          <cell r="A764">
            <v>62664</v>
          </cell>
          <cell r="B764" t="str">
            <v>3 (Springfield)</v>
          </cell>
        </row>
        <row r="765">
          <cell r="A765">
            <v>62665</v>
          </cell>
          <cell r="B765" t="str">
            <v>3 (Springfield)</v>
          </cell>
        </row>
        <row r="766">
          <cell r="A766">
            <v>62666</v>
          </cell>
          <cell r="B766" t="str">
            <v>3 (Springfield)</v>
          </cell>
        </row>
        <row r="767">
          <cell r="A767">
            <v>62667</v>
          </cell>
          <cell r="B767" t="str">
            <v>3 (Springfield)</v>
          </cell>
        </row>
        <row r="768">
          <cell r="A768">
            <v>62668</v>
          </cell>
          <cell r="B768" t="str">
            <v>3 (Springfield)</v>
          </cell>
        </row>
        <row r="769">
          <cell r="A769">
            <v>62670</v>
          </cell>
          <cell r="B769" t="str">
            <v>3 (Springfield)</v>
          </cell>
        </row>
        <row r="770">
          <cell r="A770">
            <v>62671</v>
          </cell>
          <cell r="B770" t="str">
            <v>3 (Springfield)</v>
          </cell>
        </row>
        <row r="771">
          <cell r="A771">
            <v>62672</v>
          </cell>
          <cell r="B771" t="str">
            <v>3 (Springfield)</v>
          </cell>
        </row>
        <row r="772">
          <cell r="A772">
            <v>62673</v>
          </cell>
          <cell r="B772" t="str">
            <v>3 (Springfield)</v>
          </cell>
        </row>
        <row r="773">
          <cell r="A773">
            <v>62674</v>
          </cell>
          <cell r="B773" t="str">
            <v>3 (Springfield)</v>
          </cell>
        </row>
        <row r="774">
          <cell r="A774">
            <v>62675</v>
          </cell>
          <cell r="B774" t="str">
            <v>3 (Springfield)</v>
          </cell>
        </row>
        <row r="775">
          <cell r="A775">
            <v>62677</v>
          </cell>
          <cell r="B775" t="str">
            <v>3 (Springfield)</v>
          </cell>
        </row>
        <row r="776">
          <cell r="A776">
            <v>62681</v>
          </cell>
          <cell r="B776" t="str">
            <v>3 (Springfield)</v>
          </cell>
        </row>
        <row r="777">
          <cell r="A777">
            <v>62682</v>
          </cell>
          <cell r="B777" t="str">
            <v>3 (Springfield)</v>
          </cell>
        </row>
        <row r="778">
          <cell r="A778">
            <v>62683</v>
          </cell>
          <cell r="B778" t="str">
            <v>3 (Springfield)</v>
          </cell>
        </row>
        <row r="779">
          <cell r="A779">
            <v>62684</v>
          </cell>
          <cell r="B779" t="str">
            <v>3 (Springfield)</v>
          </cell>
        </row>
        <row r="780">
          <cell r="A780">
            <v>62685</v>
          </cell>
          <cell r="B780" t="str">
            <v>3 (Springfield)</v>
          </cell>
        </row>
        <row r="781">
          <cell r="A781">
            <v>62688</v>
          </cell>
          <cell r="B781" t="str">
            <v>3 (Springfield)</v>
          </cell>
        </row>
        <row r="782">
          <cell r="A782">
            <v>62689</v>
          </cell>
          <cell r="B782" t="str">
            <v>3 (Springfield)</v>
          </cell>
        </row>
        <row r="783">
          <cell r="A783">
            <v>62690</v>
          </cell>
          <cell r="B783" t="str">
            <v>3 (Springfield)</v>
          </cell>
        </row>
        <row r="784">
          <cell r="A784">
            <v>62691</v>
          </cell>
          <cell r="B784" t="str">
            <v>3 (Springfield)</v>
          </cell>
        </row>
        <row r="785">
          <cell r="A785">
            <v>62692</v>
          </cell>
          <cell r="B785" t="str">
            <v>3 (Springfield)</v>
          </cell>
        </row>
        <row r="786">
          <cell r="A786">
            <v>62693</v>
          </cell>
          <cell r="B786" t="str">
            <v>3 (Springfield)</v>
          </cell>
        </row>
        <row r="787">
          <cell r="A787">
            <v>62694</v>
          </cell>
          <cell r="B787" t="str">
            <v>3 (Springfield)</v>
          </cell>
        </row>
        <row r="788">
          <cell r="A788">
            <v>62695</v>
          </cell>
          <cell r="B788" t="str">
            <v>3 (Springfield)</v>
          </cell>
        </row>
        <row r="789">
          <cell r="A789">
            <v>62701</v>
          </cell>
          <cell r="B789" t="str">
            <v>3 (Springfield)</v>
          </cell>
        </row>
        <row r="790">
          <cell r="A790">
            <v>62702</v>
          </cell>
          <cell r="B790" t="str">
            <v>3 (Springfield)</v>
          </cell>
        </row>
        <row r="791">
          <cell r="A791">
            <v>62703</v>
          </cell>
          <cell r="B791" t="str">
            <v>3 (Springfield)</v>
          </cell>
        </row>
        <row r="792">
          <cell r="A792">
            <v>62704</v>
          </cell>
          <cell r="B792" t="str">
            <v>3 (Springfield)</v>
          </cell>
        </row>
        <row r="793">
          <cell r="A793">
            <v>62705</v>
          </cell>
          <cell r="B793" t="str">
            <v>3 (Springfield)</v>
          </cell>
        </row>
        <row r="794">
          <cell r="A794">
            <v>62706</v>
          </cell>
          <cell r="B794" t="str">
            <v>3 (Springfield)</v>
          </cell>
        </row>
        <row r="795">
          <cell r="A795">
            <v>62707</v>
          </cell>
          <cell r="B795" t="str">
            <v>3 (Springfield)</v>
          </cell>
        </row>
        <row r="796">
          <cell r="A796">
            <v>62711</v>
          </cell>
          <cell r="B796" t="str">
            <v>3 (Springfield)</v>
          </cell>
        </row>
        <row r="797">
          <cell r="A797">
            <v>62712</v>
          </cell>
          <cell r="B797" t="str">
            <v>3 (Springfield)</v>
          </cell>
        </row>
        <row r="798">
          <cell r="A798">
            <v>62801</v>
          </cell>
          <cell r="B798" t="str">
            <v>4 (Belleville)</v>
          </cell>
        </row>
        <row r="799">
          <cell r="A799">
            <v>62803</v>
          </cell>
          <cell r="B799" t="str">
            <v>4 (Belleville)</v>
          </cell>
        </row>
        <row r="800">
          <cell r="A800">
            <v>62806</v>
          </cell>
          <cell r="B800" t="str">
            <v>4 (Belleville)</v>
          </cell>
        </row>
        <row r="801">
          <cell r="A801">
            <v>62807</v>
          </cell>
          <cell r="B801" t="str">
            <v>4 (Belleville)</v>
          </cell>
        </row>
        <row r="802">
          <cell r="A802">
            <v>62808</v>
          </cell>
          <cell r="B802" t="str">
            <v>4 (Belleville)</v>
          </cell>
        </row>
        <row r="803">
          <cell r="A803">
            <v>62809</v>
          </cell>
          <cell r="B803" t="str">
            <v>4 (Belleville)</v>
          </cell>
        </row>
        <row r="804">
          <cell r="A804">
            <v>62810</v>
          </cell>
          <cell r="B804" t="str">
            <v>4 (Belleville)</v>
          </cell>
        </row>
        <row r="805">
          <cell r="A805">
            <v>62811</v>
          </cell>
          <cell r="B805" t="str">
            <v>4 (Belleville)</v>
          </cell>
        </row>
        <row r="806">
          <cell r="A806">
            <v>62812</v>
          </cell>
          <cell r="B806" t="str">
            <v>4 (Belleville)</v>
          </cell>
        </row>
        <row r="807">
          <cell r="A807">
            <v>62814</v>
          </cell>
          <cell r="B807" t="str">
            <v>4 (Belleville)</v>
          </cell>
        </row>
        <row r="808">
          <cell r="A808">
            <v>62815</v>
          </cell>
          <cell r="B808" t="str">
            <v>4 (Belleville)</v>
          </cell>
        </row>
        <row r="809">
          <cell r="A809">
            <v>62816</v>
          </cell>
          <cell r="B809" t="str">
            <v>4 (Belleville)</v>
          </cell>
        </row>
        <row r="810">
          <cell r="A810">
            <v>62817</v>
          </cell>
          <cell r="B810" t="str">
            <v>4 (Belleville)</v>
          </cell>
        </row>
        <row r="811">
          <cell r="A811">
            <v>62818</v>
          </cell>
          <cell r="B811" t="str">
            <v>4 (Belleville)</v>
          </cell>
        </row>
        <row r="812">
          <cell r="A812">
            <v>62819</v>
          </cell>
          <cell r="B812" t="str">
            <v>4 (Belleville)</v>
          </cell>
        </row>
        <row r="813">
          <cell r="A813">
            <v>62820</v>
          </cell>
          <cell r="B813" t="str">
            <v>4 (Belleville)</v>
          </cell>
        </row>
        <row r="814">
          <cell r="A814">
            <v>62821</v>
          </cell>
          <cell r="B814" t="str">
            <v>4 (Belleville)</v>
          </cell>
        </row>
        <row r="815">
          <cell r="A815">
            <v>62822</v>
          </cell>
          <cell r="B815" t="str">
            <v>4 (Belleville)</v>
          </cell>
        </row>
        <row r="816">
          <cell r="A816">
            <v>62823</v>
          </cell>
          <cell r="B816" t="str">
            <v>4 (Belleville)</v>
          </cell>
        </row>
        <row r="817">
          <cell r="A817">
            <v>62824</v>
          </cell>
          <cell r="B817" t="str">
            <v>3 (Springfield)</v>
          </cell>
        </row>
        <row r="818">
          <cell r="A818">
            <v>62825</v>
          </cell>
          <cell r="B818" t="str">
            <v>4 (Belleville)</v>
          </cell>
        </row>
        <row r="819">
          <cell r="A819">
            <v>62827</v>
          </cell>
          <cell r="B819" t="str">
            <v>4 (Belleville)</v>
          </cell>
        </row>
        <row r="820">
          <cell r="A820">
            <v>62828</v>
          </cell>
          <cell r="B820" t="str">
            <v>4 (Belleville)</v>
          </cell>
        </row>
        <row r="821">
          <cell r="A821">
            <v>62829</v>
          </cell>
          <cell r="B821" t="str">
            <v>4 (Belleville)</v>
          </cell>
        </row>
        <row r="822">
          <cell r="A822">
            <v>62830</v>
          </cell>
          <cell r="B822" t="str">
            <v>4 (Belleville)</v>
          </cell>
        </row>
        <row r="823">
          <cell r="A823">
            <v>62831</v>
          </cell>
          <cell r="B823" t="str">
            <v>4 (Belleville)</v>
          </cell>
        </row>
        <row r="824">
          <cell r="A824">
            <v>62832</v>
          </cell>
          <cell r="B824" t="str">
            <v>4 (Belleville)</v>
          </cell>
        </row>
        <row r="825">
          <cell r="A825">
            <v>62833</v>
          </cell>
          <cell r="B825" t="str">
            <v>4 (Belleville)</v>
          </cell>
        </row>
        <row r="826">
          <cell r="A826">
            <v>62835</v>
          </cell>
          <cell r="B826" t="str">
            <v>4 (Belleville)</v>
          </cell>
        </row>
        <row r="827">
          <cell r="A827">
            <v>62836</v>
          </cell>
          <cell r="B827" t="str">
            <v>4 (Belleville)</v>
          </cell>
        </row>
        <row r="828">
          <cell r="A828">
            <v>62837</v>
          </cell>
          <cell r="B828" t="str">
            <v>4 (Belleville)</v>
          </cell>
        </row>
        <row r="829">
          <cell r="A829">
            <v>62838</v>
          </cell>
          <cell r="B829" t="str">
            <v>3 (Springfield)</v>
          </cell>
        </row>
        <row r="830">
          <cell r="A830">
            <v>62839</v>
          </cell>
          <cell r="B830" t="str">
            <v>3 (Springfield)</v>
          </cell>
        </row>
        <row r="831">
          <cell r="A831">
            <v>62841</v>
          </cell>
          <cell r="B831" t="str">
            <v>4 (Belleville)</v>
          </cell>
        </row>
        <row r="832">
          <cell r="A832">
            <v>62842</v>
          </cell>
          <cell r="B832" t="str">
            <v>4 (Belleville)</v>
          </cell>
        </row>
        <row r="833">
          <cell r="A833">
            <v>62843</v>
          </cell>
          <cell r="B833" t="str">
            <v>4 (Belleville)</v>
          </cell>
        </row>
        <row r="834">
          <cell r="A834">
            <v>62844</v>
          </cell>
          <cell r="B834" t="str">
            <v>4 (Belleville)</v>
          </cell>
        </row>
        <row r="835">
          <cell r="A835">
            <v>62846</v>
          </cell>
          <cell r="B835" t="str">
            <v>4 (Belleville)</v>
          </cell>
        </row>
        <row r="836">
          <cell r="A836">
            <v>62847</v>
          </cell>
          <cell r="B836" t="str">
            <v>4 (Belleville)</v>
          </cell>
        </row>
        <row r="837">
          <cell r="A837">
            <v>62848</v>
          </cell>
          <cell r="B837" t="str">
            <v>4 (Belleville)</v>
          </cell>
        </row>
        <row r="838">
          <cell r="A838">
            <v>62849</v>
          </cell>
          <cell r="B838" t="str">
            <v>4 (Belleville)</v>
          </cell>
        </row>
        <row r="839">
          <cell r="A839">
            <v>62850</v>
          </cell>
          <cell r="B839" t="str">
            <v>4 (Belleville)</v>
          </cell>
        </row>
        <row r="840">
          <cell r="A840">
            <v>62851</v>
          </cell>
          <cell r="B840" t="str">
            <v>4 (Belleville)</v>
          </cell>
        </row>
        <row r="841">
          <cell r="A841">
            <v>62852</v>
          </cell>
          <cell r="B841" t="str">
            <v>4 (Belleville)</v>
          </cell>
        </row>
        <row r="842">
          <cell r="A842">
            <v>62853</v>
          </cell>
          <cell r="B842" t="str">
            <v>4 (Belleville)</v>
          </cell>
        </row>
        <row r="843">
          <cell r="A843">
            <v>62854</v>
          </cell>
          <cell r="B843" t="str">
            <v>4 (Belleville)</v>
          </cell>
        </row>
        <row r="844">
          <cell r="A844">
            <v>62855</v>
          </cell>
          <cell r="B844" t="str">
            <v>4 (Belleville)</v>
          </cell>
        </row>
        <row r="845">
          <cell r="A845">
            <v>62856</v>
          </cell>
          <cell r="B845" t="str">
            <v>4 (Belleville)</v>
          </cell>
        </row>
        <row r="846">
          <cell r="A846">
            <v>62858</v>
          </cell>
          <cell r="B846" t="str">
            <v>3 (Springfield)</v>
          </cell>
        </row>
        <row r="847">
          <cell r="A847">
            <v>62859</v>
          </cell>
          <cell r="B847" t="str">
            <v>4 (Belleville)</v>
          </cell>
        </row>
        <row r="848">
          <cell r="A848">
            <v>62860</v>
          </cell>
          <cell r="B848" t="str">
            <v>4 (Belleville)</v>
          </cell>
        </row>
        <row r="849">
          <cell r="A849">
            <v>62861</v>
          </cell>
          <cell r="B849" t="str">
            <v>4 (Belleville)</v>
          </cell>
        </row>
        <row r="850">
          <cell r="A850">
            <v>62862</v>
          </cell>
          <cell r="B850" t="str">
            <v>4 (Belleville)</v>
          </cell>
        </row>
        <row r="851">
          <cell r="A851">
            <v>62863</v>
          </cell>
          <cell r="B851" t="str">
            <v>4 (Belleville)</v>
          </cell>
        </row>
        <row r="852">
          <cell r="A852">
            <v>62864</v>
          </cell>
          <cell r="B852" t="str">
            <v>4 (Belleville)</v>
          </cell>
        </row>
        <row r="853">
          <cell r="A853">
            <v>62865</v>
          </cell>
          <cell r="B853" t="str">
            <v>4 (Belleville)</v>
          </cell>
        </row>
        <row r="854">
          <cell r="A854">
            <v>62866</v>
          </cell>
          <cell r="B854" t="str">
            <v>4 (Belleville)</v>
          </cell>
        </row>
        <row r="855">
          <cell r="A855">
            <v>62867</v>
          </cell>
          <cell r="B855" t="str">
            <v>4 (Belleville)</v>
          </cell>
        </row>
        <row r="856">
          <cell r="A856">
            <v>62868</v>
          </cell>
          <cell r="B856" t="str">
            <v>4 (Belleville)</v>
          </cell>
        </row>
        <row r="857">
          <cell r="A857">
            <v>62869</v>
          </cell>
          <cell r="B857" t="str">
            <v>4 (Belleville)</v>
          </cell>
        </row>
        <row r="858">
          <cell r="A858">
            <v>62870</v>
          </cell>
          <cell r="B858" t="str">
            <v>4 (Belleville)</v>
          </cell>
        </row>
        <row r="859">
          <cell r="A859">
            <v>62871</v>
          </cell>
          <cell r="B859" t="str">
            <v>4 (Belleville)</v>
          </cell>
        </row>
        <row r="860">
          <cell r="A860">
            <v>62872</v>
          </cell>
          <cell r="B860" t="str">
            <v>4 (Belleville)</v>
          </cell>
        </row>
        <row r="861">
          <cell r="A861">
            <v>62874</v>
          </cell>
          <cell r="B861" t="str">
            <v>4 (Belleville)</v>
          </cell>
        </row>
        <row r="862">
          <cell r="A862">
            <v>62875</v>
          </cell>
          <cell r="B862" t="str">
            <v>4 (Belleville)</v>
          </cell>
        </row>
        <row r="863">
          <cell r="A863">
            <v>62877</v>
          </cell>
          <cell r="B863" t="str">
            <v>4 (Belleville)</v>
          </cell>
        </row>
        <row r="864">
          <cell r="A864">
            <v>62878</v>
          </cell>
          <cell r="B864" t="str">
            <v>4 (Belleville)</v>
          </cell>
        </row>
        <row r="865">
          <cell r="A865">
            <v>62879</v>
          </cell>
          <cell r="B865" t="str">
            <v>3 (Springfield)</v>
          </cell>
        </row>
        <row r="866">
          <cell r="A866">
            <v>62880</v>
          </cell>
          <cell r="B866" t="str">
            <v>3 (Springfield)</v>
          </cell>
        </row>
        <row r="867">
          <cell r="A867">
            <v>62881</v>
          </cell>
          <cell r="B867" t="str">
            <v>4 (Belleville)</v>
          </cell>
        </row>
        <row r="868">
          <cell r="A868">
            <v>62882</v>
          </cell>
          <cell r="B868" t="str">
            <v>4 (Belleville)</v>
          </cell>
        </row>
        <row r="869">
          <cell r="A869">
            <v>62883</v>
          </cell>
          <cell r="B869" t="str">
            <v>4 (Belleville)</v>
          </cell>
        </row>
        <row r="870">
          <cell r="A870">
            <v>62884</v>
          </cell>
          <cell r="B870" t="str">
            <v>4 (Belleville)</v>
          </cell>
        </row>
        <row r="871">
          <cell r="A871">
            <v>62885</v>
          </cell>
          <cell r="B871" t="str">
            <v>3 (Springfield)</v>
          </cell>
        </row>
        <row r="872">
          <cell r="A872">
            <v>62886</v>
          </cell>
          <cell r="B872" t="str">
            <v>4 (Belleville)</v>
          </cell>
        </row>
        <row r="873">
          <cell r="A873">
            <v>62887</v>
          </cell>
          <cell r="B873" t="str">
            <v>4 (Belleville)</v>
          </cell>
        </row>
        <row r="874">
          <cell r="A874">
            <v>62888</v>
          </cell>
          <cell r="B874" t="str">
            <v>4 (Belleville)</v>
          </cell>
        </row>
        <row r="875">
          <cell r="A875">
            <v>62889</v>
          </cell>
          <cell r="B875" t="str">
            <v>4 (Belleville)</v>
          </cell>
        </row>
        <row r="876">
          <cell r="A876">
            <v>62890</v>
          </cell>
          <cell r="B876" t="str">
            <v>4 (Belleville)</v>
          </cell>
        </row>
        <row r="877">
          <cell r="A877">
            <v>62891</v>
          </cell>
          <cell r="B877" t="str">
            <v>4 (Belleville)</v>
          </cell>
        </row>
        <row r="878">
          <cell r="A878">
            <v>62892</v>
          </cell>
          <cell r="B878" t="str">
            <v>4 (Belleville)</v>
          </cell>
        </row>
        <row r="879">
          <cell r="A879">
            <v>62893</v>
          </cell>
          <cell r="B879" t="str">
            <v>4 (Belleville)</v>
          </cell>
        </row>
        <row r="880">
          <cell r="A880">
            <v>62894</v>
          </cell>
          <cell r="B880" t="str">
            <v>4 (Belleville)</v>
          </cell>
        </row>
        <row r="881">
          <cell r="A881">
            <v>62895</v>
          </cell>
          <cell r="B881" t="str">
            <v>4 (Belleville)</v>
          </cell>
        </row>
        <row r="882">
          <cell r="A882">
            <v>62896</v>
          </cell>
          <cell r="B882" t="str">
            <v>4 (Belleville)</v>
          </cell>
        </row>
        <row r="883">
          <cell r="A883">
            <v>62897</v>
          </cell>
          <cell r="B883" t="str">
            <v>4 (Belleville)</v>
          </cell>
        </row>
        <row r="884">
          <cell r="A884">
            <v>62898</v>
          </cell>
          <cell r="B884" t="str">
            <v>4 (Belleville)</v>
          </cell>
        </row>
        <row r="885">
          <cell r="A885">
            <v>62899</v>
          </cell>
          <cell r="B885" t="str">
            <v>3 (Springfield)</v>
          </cell>
        </row>
        <row r="886">
          <cell r="A886">
            <v>62901</v>
          </cell>
          <cell r="B886" t="str">
            <v>4 (Belleville)</v>
          </cell>
        </row>
        <row r="887">
          <cell r="A887">
            <v>62902</v>
          </cell>
          <cell r="B887" t="str">
            <v>4 (Belleville)</v>
          </cell>
        </row>
        <row r="888">
          <cell r="A888">
            <v>62903</v>
          </cell>
          <cell r="B888" t="str">
            <v>4 (Belleville)</v>
          </cell>
        </row>
        <row r="889">
          <cell r="A889">
            <v>62905</v>
          </cell>
          <cell r="B889" t="str">
            <v>5 (Marion)</v>
          </cell>
        </row>
        <row r="890">
          <cell r="A890">
            <v>62906</v>
          </cell>
          <cell r="B890" t="str">
            <v>5 (Marion)</v>
          </cell>
        </row>
        <row r="891">
          <cell r="A891">
            <v>62907</v>
          </cell>
          <cell r="B891" t="str">
            <v>4 (Belleville)</v>
          </cell>
        </row>
        <row r="892">
          <cell r="A892">
            <v>62908</v>
          </cell>
          <cell r="B892" t="str">
            <v>4 (Belleville)</v>
          </cell>
        </row>
        <row r="893">
          <cell r="A893">
            <v>62909</v>
          </cell>
          <cell r="B893" t="str">
            <v>4 (Belleville)</v>
          </cell>
        </row>
        <row r="894">
          <cell r="A894">
            <v>62910</v>
          </cell>
          <cell r="B894" t="str">
            <v>5 (Marion)</v>
          </cell>
        </row>
        <row r="895">
          <cell r="A895">
            <v>62912</v>
          </cell>
          <cell r="B895" t="str">
            <v>4 (Belleville)</v>
          </cell>
        </row>
        <row r="896">
          <cell r="A896">
            <v>62915</v>
          </cell>
          <cell r="B896" t="str">
            <v>4 (Belleville)</v>
          </cell>
        </row>
        <row r="897">
          <cell r="A897">
            <v>62916</v>
          </cell>
          <cell r="B897" t="str">
            <v>4 (Belleville)</v>
          </cell>
        </row>
        <row r="898">
          <cell r="A898">
            <v>62917</v>
          </cell>
          <cell r="B898" t="str">
            <v>4 (Belleville)</v>
          </cell>
        </row>
        <row r="899">
          <cell r="A899">
            <v>62918</v>
          </cell>
          <cell r="B899" t="str">
            <v>4 (Belleville)</v>
          </cell>
        </row>
        <row r="900">
          <cell r="A900">
            <v>62919</v>
          </cell>
          <cell r="B900" t="str">
            <v>4 (Belleville)</v>
          </cell>
        </row>
        <row r="901">
          <cell r="A901">
            <v>62920</v>
          </cell>
          <cell r="B901" t="str">
            <v>5 (Marion)</v>
          </cell>
        </row>
        <row r="902">
          <cell r="A902">
            <v>62921</v>
          </cell>
          <cell r="B902" t="str">
            <v>4 (Belleville)</v>
          </cell>
        </row>
        <row r="903">
          <cell r="A903">
            <v>62922</v>
          </cell>
          <cell r="B903" t="str">
            <v>4 (Belleville)</v>
          </cell>
        </row>
        <row r="904">
          <cell r="A904">
            <v>62923</v>
          </cell>
          <cell r="B904" t="str">
            <v>4 (Belleville)</v>
          </cell>
        </row>
        <row r="905">
          <cell r="A905">
            <v>62924</v>
          </cell>
          <cell r="B905" t="str">
            <v>4 (Belleville)</v>
          </cell>
        </row>
        <row r="906">
          <cell r="A906">
            <v>62926</v>
          </cell>
          <cell r="B906" t="str">
            <v>5 (Marion)</v>
          </cell>
        </row>
        <row r="907">
          <cell r="A907">
            <v>62927</v>
          </cell>
          <cell r="B907" t="str">
            <v>4 (Belleville)</v>
          </cell>
        </row>
        <row r="908">
          <cell r="A908">
            <v>62928</v>
          </cell>
          <cell r="B908" t="str">
            <v>4 (Belleville)</v>
          </cell>
        </row>
        <row r="909">
          <cell r="A909">
            <v>62930</v>
          </cell>
          <cell r="B909" t="str">
            <v>4 (Belleville)</v>
          </cell>
        </row>
        <row r="910">
          <cell r="A910">
            <v>62931</v>
          </cell>
          <cell r="B910" t="str">
            <v>4 (Belleville)</v>
          </cell>
        </row>
        <row r="911">
          <cell r="A911">
            <v>62932</v>
          </cell>
          <cell r="B911" t="str">
            <v>4 (Belleville)</v>
          </cell>
        </row>
        <row r="912">
          <cell r="A912">
            <v>62933</v>
          </cell>
          <cell r="B912" t="str">
            <v>4 (Belleville)</v>
          </cell>
        </row>
        <row r="913">
          <cell r="A913">
            <v>62934</v>
          </cell>
          <cell r="B913" t="str">
            <v>4 (Belleville)</v>
          </cell>
        </row>
        <row r="914">
          <cell r="A914">
            <v>62935</v>
          </cell>
          <cell r="B914" t="str">
            <v>4 (Belleville)</v>
          </cell>
        </row>
        <row r="915">
          <cell r="A915">
            <v>62938</v>
          </cell>
          <cell r="B915" t="str">
            <v>4 (Belleville)</v>
          </cell>
        </row>
        <row r="916">
          <cell r="A916">
            <v>62939</v>
          </cell>
          <cell r="B916" t="str">
            <v>4 (Belleville)</v>
          </cell>
        </row>
        <row r="917">
          <cell r="A917">
            <v>62940</v>
          </cell>
          <cell r="B917" t="str">
            <v>4 (Belleville)</v>
          </cell>
        </row>
        <row r="918">
          <cell r="A918">
            <v>62941</v>
          </cell>
          <cell r="B918" t="str">
            <v>5 (Marion)</v>
          </cell>
        </row>
        <row r="919">
          <cell r="A919">
            <v>62942</v>
          </cell>
          <cell r="B919" t="str">
            <v>4 (Belleville)</v>
          </cell>
        </row>
        <row r="920">
          <cell r="A920">
            <v>62943</v>
          </cell>
          <cell r="B920" t="str">
            <v>4 (Belleville)</v>
          </cell>
        </row>
        <row r="921">
          <cell r="A921">
            <v>62946</v>
          </cell>
          <cell r="B921" t="str">
            <v>4 (Belleville)</v>
          </cell>
        </row>
        <row r="922">
          <cell r="A922">
            <v>62947</v>
          </cell>
          <cell r="B922" t="str">
            <v>4 (Belleville)</v>
          </cell>
        </row>
        <row r="923">
          <cell r="A923">
            <v>62948</v>
          </cell>
          <cell r="B923" t="str">
            <v>4 (Belleville)</v>
          </cell>
        </row>
        <row r="924">
          <cell r="A924">
            <v>62949</v>
          </cell>
          <cell r="B924" t="str">
            <v>4 (Belleville)</v>
          </cell>
        </row>
        <row r="925">
          <cell r="A925">
            <v>62951</v>
          </cell>
          <cell r="B925" t="str">
            <v>4 (Belleville)</v>
          </cell>
        </row>
        <row r="926">
          <cell r="A926">
            <v>62952</v>
          </cell>
          <cell r="B926" t="str">
            <v>5 (Marion)</v>
          </cell>
        </row>
        <row r="927">
          <cell r="A927">
            <v>62953</v>
          </cell>
          <cell r="B927" t="str">
            <v>5 (Marion)</v>
          </cell>
        </row>
        <row r="928">
          <cell r="A928">
            <v>62954</v>
          </cell>
          <cell r="B928" t="str">
            <v>4 (Belleville)</v>
          </cell>
        </row>
        <row r="929">
          <cell r="A929">
            <v>62955</v>
          </cell>
          <cell r="B929" t="str">
            <v>4 (Belleville)</v>
          </cell>
        </row>
        <row r="930">
          <cell r="A930">
            <v>62956</v>
          </cell>
          <cell r="B930" t="str">
            <v>5 (Marion)</v>
          </cell>
        </row>
        <row r="931">
          <cell r="A931">
            <v>62957</v>
          </cell>
          <cell r="B931" t="str">
            <v>5 (Marion)</v>
          </cell>
        </row>
        <row r="932">
          <cell r="A932">
            <v>62958</v>
          </cell>
          <cell r="B932" t="str">
            <v>4 (Belleville)</v>
          </cell>
        </row>
        <row r="933">
          <cell r="A933">
            <v>62959</v>
          </cell>
          <cell r="B933" t="str">
            <v>4 (Belleville)</v>
          </cell>
        </row>
        <row r="934">
          <cell r="A934">
            <v>62960</v>
          </cell>
          <cell r="B934" t="str">
            <v>5 (Marion)</v>
          </cell>
        </row>
        <row r="935">
          <cell r="A935">
            <v>62963</v>
          </cell>
          <cell r="B935" t="str">
            <v>5 (Marion)</v>
          </cell>
        </row>
        <row r="936">
          <cell r="A936">
            <v>62964</v>
          </cell>
          <cell r="B936" t="str">
            <v>5 (Marion)</v>
          </cell>
        </row>
        <row r="937">
          <cell r="A937">
            <v>62965</v>
          </cell>
          <cell r="B937" t="str">
            <v>4 (Belleville)</v>
          </cell>
        </row>
        <row r="938">
          <cell r="A938">
            <v>62966</v>
          </cell>
          <cell r="B938" t="str">
            <v>4 (Belleville)</v>
          </cell>
        </row>
        <row r="939">
          <cell r="A939">
            <v>62967</v>
          </cell>
          <cell r="B939" t="str">
            <v>4 (Belleville)</v>
          </cell>
        </row>
        <row r="940">
          <cell r="A940">
            <v>62969</v>
          </cell>
          <cell r="B940" t="str">
            <v>5 (Marion)</v>
          </cell>
        </row>
        <row r="941">
          <cell r="A941">
            <v>62970</v>
          </cell>
          <cell r="B941" t="str">
            <v>5 (Marion)</v>
          </cell>
        </row>
        <row r="942">
          <cell r="A942">
            <v>62972</v>
          </cell>
          <cell r="B942" t="str">
            <v>4 (Belleville)</v>
          </cell>
        </row>
        <row r="943">
          <cell r="A943">
            <v>62973</v>
          </cell>
          <cell r="B943" t="str">
            <v>5 (Marion)</v>
          </cell>
        </row>
        <row r="944">
          <cell r="A944">
            <v>62974</v>
          </cell>
          <cell r="B944" t="str">
            <v>4 (Belleville)</v>
          </cell>
        </row>
        <row r="945">
          <cell r="A945">
            <v>62975</v>
          </cell>
          <cell r="B945" t="str">
            <v>4 (Belleville)</v>
          </cell>
        </row>
        <row r="946">
          <cell r="A946">
            <v>62976</v>
          </cell>
          <cell r="B946" t="str">
            <v>5 (Marion)</v>
          </cell>
        </row>
        <row r="947">
          <cell r="A947">
            <v>62977</v>
          </cell>
          <cell r="B947" t="str">
            <v>4 (Belleville)</v>
          </cell>
        </row>
        <row r="948">
          <cell r="A948">
            <v>62979</v>
          </cell>
          <cell r="B948" t="str">
            <v>4 (Belleville)</v>
          </cell>
        </row>
        <row r="949">
          <cell r="A949">
            <v>62982</v>
          </cell>
          <cell r="B949" t="str">
            <v>4 (Belleville)</v>
          </cell>
        </row>
        <row r="950">
          <cell r="A950">
            <v>62983</v>
          </cell>
          <cell r="B950" t="str">
            <v>4 (Belleville)</v>
          </cell>
        </row>
        <row r="951">
          <cell r="A951">
            <v>62984</v>
          </cell>
          <cell r="B951" t="str">
            <v>4 (Belleville)</v>
          </cell>
        </row>
        <row r="952">
          <cell r="A952">
            <v>62985</v>
          </cell>
          <cell r="B952" t="str">
            <v>4 (Belleville)</v>
          </cell>
        </row>
        <row r="953">
          <cell r="A953">
            <v>62987</v>
          </cell>
          <cell r="B953" t="str">
            <v>4 (Belleville)</v>
          </cell>
        </row>
        <row r="954">
          <cell r="A954">
            <v>62988</v>
          </cell>
          <cell r="B954" t="str">
            <v>5 (Marion)</v>
          </cell>
        </row>
        <row r="955">
          <cell r="A955">
            <v>62990</v>
          </cell>
          <cell r="B955" t="str">
            <v>5 (Marion)</v>
          </cell>
        </row>
        <row r="956">
          <cell r="A956">
            <v>62992</v>
          </cell>
          <cell r="B956" t="str">
            <v>5 (Marion)</v>
          </cell>
        </row>
        <row r="957">
          <cell r="A957">
            <v>62994</v>
          </cell>
          <cell r="B957" t="str">
            <v>4 (Belleville)</v>
          </cell>
        </row>
        <row r="958">
          <cell r="A958">
            <v>62995</v>
          </cell>
          <cell r="B958" t="str">
            <v>4 (Belleville)</v>
          </cell>
        </row>
        <row r="959">
          <cell r="A959">
            <v>62996</v>
          </cell>
          <cell r="B959" t="str">
            <v>5 (Marion)</v>
          </cell>
        </row>
        <row r="960">
          <cell r="A960">
            <v>62997</v>
          </cell>
          <cell r="B960" t="str">
            <v>4 (Belleville)</v>
          </cell>
        </row>
        <row r="961">
          <cell r="A961">
            <v>62998</v>
          </cell>
          <cell r="B961" t="str">
            <v>5 (Marion)</v>
          </cell>
        </row>
        <row r="962">
          <cell r="A962">
            <v>62999</v>
          </cell>
          <cell r="B962" t="str">
            <v>4 (Belleville)</v>
          </cell>
        </row>
      </sheetData>
      <sheetData sheetId="5"/>
      <sheetData sheetId="6"/>
      <sheetData sheetId="7"/>
      <sheetData sheetId="8"/>
      <sheetData sheetId="9">
        <row r="1">
          <cell r="A1" t="str">
            <v>Key</v>
          </cell>
          <cell r="G1" t="str">
            <v>Value</v>
          </cell>
        </row>
        <row r="2">
          <cell r="A2" t="str">
            <v>Residential_HVAC_Air-Source Heat Pump_FLH_ASHPheat_1 (Rockford)</v>
          </cell>
          <cell r="G2">
            <v>1924</v>
          </cell>
        </row>
        <row r="3">
          <cell r="A3" t="str">
            <v>Residential_HVAC_Air-Source Heat Pump_FLH_ASHPheat_2 (Chicago)</v>
          </cell>
          <cell r="G3">
            <v>1726</v>
          </cell>
        </row>
        <row r="4">
          <cell r="A4" t="str">
            <v>Residential_HVAC_Air-Source Heat Pump_FLH_ASHPheat_3 (Springfield)</v>
          </cell>
          <cell r="G4">
            <v>1708</v>
          </cell>
        </row>
        <row r="5">
          <cell r="A5" t="str">
            <v>Residential_HVAC_Air-Source Heat Pump_FLH_ASHPheat_4 (Belleville)</v>
          </cell>
          <cell r="G5">
            <v>1195</v>
          </cell>
        </row>
        <row r="6">
          <cell r="A6" t="str">
            <v>Residential_HVAC_Air-Source Heat Pump_FLH_ASHPheat_5 (Marion)</v>
          </cell>
          <cell r="G6">
            <v>1270</v>
          </cell>
        </row>
        <row r="7">
          <cell r="A7" t="str">
            <v>Residential_HVAC_Air-Source Heat Pump_FLH_ASHPheat_Weighted Average</v>
          </cell>
          <cell r="G7">
            <v>1547</v>
          </cell>
        </row>
        <row r="8">
          <cell r="A8" t="str">
            <v>Residential_HVAC_Air-Source Heat Pump_FLHcool_1 (Rockford)</v>
          </cell>
          <cell r="G8">
            <v>547</v>
          </cell>
        </row>
        <row r="9">
          <cell r="A9" t="str">
            <v>Residential_HVAC_Air-Source Heat Pump_FLHcool_2 (Chicago)</v>
          </cell>
          <cell r="G9">
            <v>709</v>
          </cell>
        </row>
        <row r="10">
          <cell r="A10" t="str">
            <v>Residential_HVAC_Air-Source Heat Pump_FLHcool_3 (Springfield)</v>
          </cell>
          <cell r="G10">
            <v>779</v>
          </cell>
        </row>
        <row r="11">
          <cell r="A11" t="str">
            <v>Residential_HVAC_Air-Source Heat Pump_FLHcool_4 (Belleville)</v>
          </cell>
          <cell r="G11">
            <v>1082</v>
          </cell>
        </row>
        <row r="12">
          <cell r="A12" t="str">
            <v>Residential_HVAC_Air-Source Heat Pump_FLHcool_5 (Marion)</v>
          </cell>
          <cell r="G12">
            <v>956</v>
          </cell>
        </row>
        <row r="13">
          <cell r="A13" t="str">
            <v>Residential_HVAC_Air-Source Heat Pump_FLHcool_Weighted Average</v>
          </cell>
          <cell r="G13">
            <v>875</v>
          </cell>
        </row>
        <row r="14">
          <cell r="A14" t="str">
            <v>Residential_HVAC_Air-Source Heat Pump_Heat Load Factor_1 (Rockford)</v>
          </cell>
          <cell r="G14">
            <v>0.42</v>
          </cell>
        </row>
        <row r="15">
          <cell r="A15" t="str">
            <v>Residential_HVAC_Air-Source Heat Pump_Heat Load Factor_2 (Chicago)</v>
          </cell>
          <cell r="G15">
            <v>0.48</v>
          </cell>
        </row>
        <row r="16">
          <cell r="A16" t="str">
            <v>Residential_HVAC_Air-Source Heat Pump_Heat Load Factor_3 (Springfield)</v>
          </cell>
          <cell r="G16">
            <v>0.56999999999999995</v>
          </cell>
        </row>
        <row r="17">
          <cell r="A17" t="str">
            <v>Residential_HVAC_Air-Source Heat Pump_Heat Load Factor_4 (Belleville)</v>
          </cell>
          <cell r="G17">
            <v>0.61</v>
          </cell>
        </row>
        <row r="18">
          <cell r="A18" t="str">
            <v>Residential_HVAC_Air-Source Heat Pump_Heat Load Factor_5 (Marion)</v>
          </cell>
          <cell r="G18">
            <v>0.72</v>
          </cell>
        </row>
        <row r="19">
          <cell r="A19" t="str">
            <v>Residential_HVAC_Air-Source Heat Pump_Heat Load Factor_Weighted Average</v>
          </cell>
          <cell r="G19">
            <v>0.56999999999999995</v>
          </cell>
        </row>
        <row r="20">
          <cell r="A20" t="str">
            <v>Residential_HVAC_Ductless Heat Pump_Heat Load Factor_1 (Rockford)</v>
          </cell>
          <cell r="G20">
            <v>0.42</v>
          </cell>
        </row>
        <row r="21">
          <cell r="A21" t="str">
            <v>Residential_HVAC_Ductless Heat Pump_Heat Load Factor_2 (Chicago)</v>
          </cell>
          <cell r="G21">
            <v>0.48</v>
          </cell>
        </row>
        <row r="22">
          <cell r="A22" t="str">
            <v>Residential_HVAC_Ductless Heat Pump_Heat Load Factor_3 (Springfield)</v>
          </cell>
          <cell r="G22">
            <v>0.56999999999999995</v>
          </cell>
        </row>
        <row r="23">
          <cell r="A23" t="str">
            <v>Residential_HVAC_Ductless Heat Pump_Heat Load Factor_4 (Belleville)</v>
          </cell>
          <cell r="G23">
            <v>0.61</v>
          </cell>
        </row>
        <row r="24">
          <cell r="A24" t="str">
            <v>Residential_HVAC_Ductless Heat Pump_Heat Load Factor_5 (Marion)</v>
          </cell>
          <cell r="G24">
            <v>0.72</v>
          </cell>
        </row>
        <row r="25">
          <cell r="A25" t="str">
            <v>Residential_HVAC_Ductless Heat Pump_Heat Load Factor_Weighted Average</v>
          </cell>
          <cell r="G25">
            <v>0.56999999999999995</v>
          </cell>
        </row>
        <row r="26">
          <cell r="A26" t="str">
            <v>Residential_HVAC_Ductless Heat Pump_EFLHheat_DMSHP_1 (Rockford)</v>
          </cell>
          <cell r="G26">
            <v>1924</v>
          </cell>
        </row>
        <row r="27">
          <cell r="A27" t="str">
            <v>Residential_HVAC_Ductless Heat Pump_EFLHheat_DMSHP_2 (Chicago)</v>
          </cell>
          <cell r="G27">
            <v>1726</v>
          </cell>
        </row>
        <row r="28">
          <cell r="A28" t="str">
            <v>Residential_HVAC_Ductless Heat Pump_EFLHheat_DMSHP_3 (Springfield)</v>
          </cell>
          <cell r="G28">
            <v>1708</v>
          </cell>
        </row>
        <row r="29">
          <cell r="A29" t="str">
            <v>Residential_HVAC_Ductless Heat Pump_EFLHheat_DMSHP_4 (Belleville)</v>
          </cell>
          <cell r="G29">
            <v>1195</v>
          </cell>
        </row>
        <row r="30">
          <cell r="A30" t="str">
            <v>Residential_HVAC_Ductless Heat Pump_EFLHheat_DMSHP_5 (Marion)</v>
          </cell>
          <cell r="G30">
            <v>1270</v>
          </cell>
        </row>
        <row r="31">
          <cell r="A31" t="str">
            <v>Residential_HVAC_Ductless Heat Pump_EFLHheat_DMSHP_Weighted Average</v>
          </cell>
          <cell r="G31">
            <v>1547</v>
          </cell>
        </row>
        <row r="32">
          <cell r="A32" t="str">
            <v>Residential_HVAC_Ductless Heat Pump_EFLHcool_1 (Rockford)</v>
          </cell>
          <cell r="G32">
            <v>547</v>
          </cell>
        </row>
        <row r="33">
          <cell r="A33" t="str">
            <v>Residential_HVAC_Ductless Heat Pump_EFLHcool_2 (Chicago)</v>
          </cell>
          <cell r="G33">
            <v>709</v>
          </cell>
        </row>
        <row r="34">
          <cell r="A34" t="str">
            <v>Residential_HVAC_Ductless Heat Pump_EFLHcool_3 (Springfield)</v>
          </cell>
          <cell r="G34">
            <v>779</v>
          </cell>
        </row>
        <row r="35">
          <cell r="A35" t="str">
            <v>Residential_HVAC_Ductless Heat Pump_EFLHcool_4 (Belleville)</v>
          </cell>
          <cell r="G35">
            <v>1082</v>
          </cell>
        </row>
        <row r="36">
          <cell r="A36" t="str">
            <v>Residential_HVAC_Ductless Heat Pump_EFLHcool_5 (Marion)</v>
          </cell>
          <cell r="G36">
            <v>956</v>
          </cell>
        </row>
        <row r="37">
          <cell r="A37" t="str">
            <v>Residential_HVAC_Ductless Heat Pump_EFLHcool_Weighted Average</v>
          </cell>
          <cell r="G37">
            <v>875</v>
          </cell>
        </row>
        <row r="38">
          <cell r="A38" t="str">
            <v>Commercial_HVAC_Air-Source Heat Pump_FLH_ASHPheat_1 (Rockford)</v>
          </cell>
          <cell r="G38">
            <v>1709</v>
          </cell>
        </row>
        <row r="39">
          <cell r="A39" t="str">
            <v>Commercial_HVAC_Air-Source Heat Pump_FLH_ASHPheat_2 (Chicago)</v>
          </cell>
          <cell r="G39">
            <v>1678</v>
          </cell>
        </row>
        <row r="40">
          <cell r="A40" t="str">
            <v>Commercial_HVAC_Air-Source Heat Pump_FLH_ASHPheat_3 (Springfield)</v>
          </cell>
          <cell r="G40">
            <v>1508</v>
          </cell>
        </row>
        <row r="41">
          <cell r="A41" t="str">
            <v>Commercial_HVAC_Air-Source Heat Pump_FLH_ASHPheat_4 (Belleville)</v>
          </cell>
          <cell r="G41">
            <v>1287</v>
          </cell>
        </row>
        <row r="42">
          <cell r="A42" t="str">
            <v>Commercial_HVAC_Air-Source Heat Pump_FLH_ASHPheat_5 (Marion)</v>
          </cell>
          <cell r="G42">
            <v>1411</v>
          </cell>
        </row>
        <row r="43">
          <cell r="A43" t="str">
            <v>Commercial_HVAC_Air-Source Heat Pump_FLH_ASHPheat_Weighted Average</v>
          </cell>
          <cell r="G43">
            <v>1508</v>
          </cell>
        </row>
        <row r="44">
          <cell r="A44" t="str">
            <v>Commercial_HVAC_Air-Source Heat Pump_FLHcool_1 (Rockford)</v>
          </cell>
          <cell r="G44">
            <v>1003</v>
          </cell>
        </row>
        <row r="45">
          <cell r="A45" t="str">
            <v>Commercial_HVAC_Air-Source Heat Pump_FLHcool_2 (Chicago)</v>
          </cell>
          <cell r="G45">
            <v>1019</v>
          </cell>
        </row>
        <row r="46">
          <cell r="A46" t="str">
            <v>Commercial_HVAC_Air-Source Heat Pump_FLHcool_3 (Springfield)</v>
          </cell>
          <cell r="G46">
            <v>1230</v>
          </cell>
        </row>
        <row r="47">
          <cell r="A47" t="str">
            <v>Commercial_HVAC_Air-Source Heat Pump_FLHcool_4 (Belleville)</v>
          </cell>
          <cell r="G47">
            <v>1403</v>
          </cell>
        </row>
        <row r="48">
          <cell r="A48" t="str">
            <v>Commercial_HVAC_Air-Source Heat Pump_FLHcool_5 (Marion)</v>
          </cell>
          <cell r="G48">
            <v>1236</v>
          </cell>
        </row>
        <row r="49">
          <cell r="A49" t="str">
            <v>Commercial_HVAC_Air-Source Heat Pump_FLHcool_Weighted Average</v>
          </cell>
          <cell r="G49">
            <v>1230</v>
          </cell>
        </row>
        <row r="50">
          <cell r="A50" t="str">
            <v>Commercial_HVAC_Ductless Heat Pump_FLH_ASHPheat_1 (Rockford)</v>
          </cell>
          <cell r="G50">
            <v>1709</v>
          </cell>
        </row>
        <row r="51">
          <cell r="A51" t="str">
            <v>Commercial_HVAC_Ductless Heat Pump_FLH_ASHPheat_2 (Chicago)</v>
          </cell>
          <cell r="G51">
            <v>1678</v>
          </cell>
        </row>
        <row r="52">
          <cell r="A52" t="str">
            <v>Commercial_HVAC_Ductless Heat Pump_FLH_ASHPheat_3 (Springfield)</v>
          </cell>
          <cell r="G52">
            <v>1508</v>
          </cell>
        </row>
        <row r="53">
          <cell r="A53" t="str">
            <v>Commercial_HVAC_Ductless Heat Pump_FLH_ASHPheat_4 (Belleville)</v>
          </cell>
          <cell r="G53">
            <v>1287</v>
          </cell>
        </row>
        <row r="54">
          <cell r="A54" t="str">
            <v>Commercial_HVAC_Ductless Heat Pump_FLH_ASHPheat_5 (Marion)</v>
          </cell>
          <cell r="G54">
            <v>1411</v>
          </cell>
        </row>
        <row r="55">
          <cell r="A55" t="str">
            <v>Commercial_HVAC_Ductless Heat Pump_FLH_ASHPheat_Weighted Average</v>
          </cell>
          <cell r="G55">
            <v>1508</v>
          </cell>
        </row>
        <row r="56">
          <cell r="A56" t="str">
            <v>Commercial_HVAC_Ductless Heat Pump_FLHcool_1 (Rockford)</v>
          </cell>
          <cell r="G56">
            <v>1003</v>
          </cell>
        </row>
        <row r="57">
          <cell r="A57" t="str">
            <v>Commercial_HVAC_Ductless Heat Pump_FLHcool_2 (Chicago)</v>
          </cell>
          <cell r="G57">
            <v>1019</v>
          </cell>
        </row>
        <row r="58">
          <cell r="A58" t="str">
            <v>Commercial_HVAC_Ductless Heat Pump_FLHcool_3 (Springfield)</v>
          </cell>
          <cell r="G58">
            <v>1230</v>
          </cell>
        </row>
        <row r="59">
          <cell r="A59" t="str">
            <v>Commercial_HVAC_Ductless Heat Pump_FLHcool_4 (Belleville)</v>
          </cell>
          <cell r="G59">
            <v>1403</v>
          </cell>
        </row>
        <row r="60">
          <cell r="A60" t="str">
            <v>Commercial_HVAC_Ductless Heat Pump_FLHcool_5 (Marion)</v>
          </cell>
          <cell r="G60">
            <v>1236</v>
          </cell>
        </row>
        <row r="61">
          <cell r="A61" t="str">
            <v>Commercial_HVAC_Ductless Heat Pump_FLHcool_Weighted Average</v>
          </cell>
          <cell r="G61">
            <v>1230</v>
          </cell>
        </row>
        <row r="62">
          <cell r="A62" t="str">
            <v>Residential_HVAC_Gas High Efficiency Furnace_EFLH_1 (Rockford)</v>
          </cell>
          <cell r="G62">
            <v>1022</v>
          </cell>
        </row>
        <row r="63">
          <cell r="A63" t="str">
            <v>Residential_HVAC_Gas High Efficiency Furnace_EFLH_2 (Chicago)</v>
          </cell>
          <cell r="G63">
            <v>976</v>
          </cell>
        </row>
        <row r="64">
          <cell r="A64" t="str">
            <v>Residential_HVAC_Gas High Efficiency Furnace_EFLH_3 (Springfield)</v>
          </cell>
          <cell r="G64">
            <v>836</v>
          </cell>
        </row>
        <row r="65">
          <cell r="A65" t="str">
            <v>Residential_HVAC_Gas High Efficiency Furnace_EFLH_4 (Belleville)</v>
          </cell>
          <cell r="G65">
            <v>645</v>
          </cell>
        </row>
        <row r="66">
          <cell r="A66" t="str">
            <v>Residential_HVAC_Gas High Efficiency Furnace_EFLH_5 (Marion)</v>
          </cell>
          <cell r="G66">
            <v>656</v>
          </cell>
        </row>
        <row r="67">
          <cell r="A67" t="str">
            <v>Residential_HVAC_Gas High Efficiency Furnace_EFLH_Weighted Average</v>
          </cell>
          <cell r="G67">
            <v>928</v>
          </cell>
        </row>
        <row r="68">
          <cell r="A68" t="str">
            <v>Residential_HVAC_Gas High Efficiency Boiler_EFLH_1 (Rockford)</v>
          </cell>
          <cell r="G68">
            <v>1022</v>
          </cell>
        </row>
        <row r="69">
          <cell r="A69" t="str">
            <v>Residential_HVAC_Gas High Efficiency Boiler_EFLH_2 (Chicago)</v>
          </cell>
          <cell r="G69">
            <v>976</v>
          </cell>
        </row>
        <row r="70">
          <cell r="A70" t="str">
            <v>Residential_HVAC_Gas High Efficiency Boiler_EFLH_3 (Springfield)</v>
          </cell>
          <cell r="G70">
            <v>836</v>
          </cell>
        </row>
        <row r="71">
          <cell r="A71" t="str">
            <v>Residential_HVAC_Gas High Efficiency Boiler_EFLH_4 (Belleville)</v>
          </cell>
          <cell r="G71">
            <v>645</v>
          </cell>
        </row>
        <row r="72">
          <cell r="A72" t="str">
            <v>Residential_HVAC_Gas High Efficiency Boiler_EFLH_5 (Marion)</v>
          </cell>
          <cell r="G72">
            <v>656</v>
          </cell>
        </row>
        <row r="73">
          <cell r="A73" t="str">
            <v>Residential_HVAC_Gas High Efficiency Boiler_EFLH_Weighted Average</v>
          </cell>
          <cell r="G73">
            <v>928</v>
          </cell>
        </row>
        <row r="74">
          <cell r="A74" t="str">
            <v>Residential_HVAC_Furnace_EFLH_1 (Rockford)</v>
          </cell>
          <cell r="G74">
            <v>1022</v>
          </cell>
        </row>
        <row r="75">
          <cell r="A75" t="str">
            <v>Residential_HVAC_Furnace_EFLH_2 (Chicago)</v>
          </cell>
          <cell r="G75">
            <v>976</v>
          </cell>
        </row>
        <row r="76">
          <cell r="A76" t="str">
            <v>Residential_HVAC_Furnace_EFLH_3 (Springfield)</v>
          </cell>
          <cell r="G76">
            <v>836</v>
          </cell>
        </row>
        <row r="77">
          <cell r="A77" t="str">
            <v>Residential_HVAC_Furnace_EFLH_4 (Belleville)</v>
          </cell>
          <cell r="G77">
            <v>645</v>
          </cell>
        </row>
        <row r="78">
          <cell r="A78" t="str">
            <v>Residential_HVAC_Furnace_EFLH_5 (Marion)</v>
          </cell>
          <cell r="G78">
            <v>656</v>
          </cell>
        </row>
        <row r="79">
          <cell r="A79" t="str">
            <v>Residential_HVAC_Furnace_EFLH_Weighted Average</v>
          </cell>
          <cell r="G79">
            <v>928</v>
          </cell>
        </row>
        <row r="80">
          <cell r="A80" t="str">
            <v>Residential_HVAC_Boiler_EFLH_1 (Rockford)</v>
          </cell>
          <cell r="G80">
            <v>1022</v>
          </cell>
        </row>
        <row r="81">
          <cell r="A81" t="str">
            <v>Residential_HVAC_Boiler_EFLH_2 (Chicago)</v>
          </cell>
          <cell r="G81">
            <v>976</v>
          </cell>
        </row>
        <row r="82">
          <cell r="A82" t="str">
            <v>Residential_HVAC_Boiler_EFLH_3 (Springfield)</v>
          </cell>
          <cell r="G82">
            <v>836</v>
          </cell>
        </row>
        <row r="83">
          <cell r="A83" t="str">
            <v>Residential_HVAC_Boiler_EFLH_4 (Belleville)</v>
          </cell>
          <cell r="G83">
            <v>645</v>
          </cell>
        </row>
        <row r="84">
          <cell r="A84" t="str">
            <v>Residential_HVAC_Boiler_EFLH_5 (Marion)</v>
          </cell>
          <cell r="G84">
            <v>656</v>
          </cell>
        </row>
        <row r="85">
          <cell r="A85" t="str">
            <v>Residential_HVAC_Boiler_EFLH_Weighted Average</v>
          </cell>
          <cell r="G85">
            <v>928</v>
          </cell>
        </row>
        <row r="86">
          <cell r="A86" t="str">
            <v>Residential_HVAC_Air-Source Heat Pump_HSPF2_ClimateAdj_1 (Rockford)</v>
          </cell>
          <cell r="G86">
            <v>0.77</v>
          </cell>
        </row>
        <row r="87">
          <cell r="A87" t="str">
            <v>Residential_HVAC_Air-Source Heat Pump_HSPF2_ClimateAdj_2 (Chicago)</v>
          </cell>
          <cell r="G87">
            <v>0.77</v>
          </cell>
        </row>
        <row r="88">
          <cell r="A88" t="str">
            <v>Residential_HVAC_Air-Source Heat Pump_HSPF2_ClimateAdj_3 (Springfield)</v>
          </cell>
          <cell r="G88">
            <v>0.91</v>
          </cell>
        </row>
        <row r="89">
          <cell r="A89" t="str">
            <v>Residential_HVAC_Air-Source Heat Pump_HSPF2_ClimateAdj_4 (Belleville)</v>
          </cell>
          <cell r="G89">
            <v>0.91</v>
          </cell>
        </row>
        <row r="90">
          <cell r="A90" t="str">
            <v>Residential_HVAC_Air-Source Heat Pump_HSPF2_ClimateAdj_5 (Marion)</v>
          </cell>
          <cell r="G90">
            <v>0.91</v>
          </cell>
        </row>
        <row r="91">
          <cell r="A91" t="str">
            <v>Residential_HVAC_Air-Source Heat Pump_HSPF2_ClimateAdj_Weighted Average</v>
          </cell>
          <cell r="G91">
            <v>0.89</v>
          </cell>
        </row>
        <row r="92">
          <cell r="A92" t="str">
            <v>Residential_HVAC_Ductless Heat Pump_HSPF2_ClimateAdj_1 (Rockford)</v>
          </cell>
          <cell r="G92">
            <v>0.77</v>
          </cell>
        </row>
        <row r="93">
          <cell r="A93" t="str">
            <v>Residential_HVAC_Ductless Heat Pump_HSPF2_ClimateAdj_2 (Chicago)</v>
          </cell>
          <cell r="G93">
            <v>0.77</v>
          </cell>
        </row>
        <row r="94">
          <cell r="A94" t="str">
            <v>Residential_HVAC_Ductless Heat Pump_HSPF2_ClimateAdj_3 (Springfield)</v>
          </cell>
          <cell r="G94">
            <v>0.91</v>
          </cell>
        </row>
        <row r="95">
          <cell r="A95" t="str">
            <v>Residential_HVAC_Ductless Heat Pump_HSPF2_ClimateAdj_4 (Belleville)</v>
          </cell>
          <cell r="G95">
            <v>0.91</v>
          </cell>
        </row>
        <row r="96">
          <cell r="A96" t="str">
            <v>Residential_HVAC_Ductless Heat Pump_HSPF2_ClimateAdj_5 (Marion)</v>
          </cell>
          <cell r="G96">
            <v>0.91</v>
          </cell>
        </row>
        <row r="97">
          <cell r="A97" t="str">
            <v>Residential_HVAC_Ductless Heat Pump_HSPF2_ClimateAdj_Weighted Average</v>
          </cell>
          <cell r="G97">
            <v>0.89</v>
          </cell>
        </row>
        <row r="98">
          <cell r="A98" t="str">
            <v>Residential_Building Shell_Ceiling/Attic Insulation #1 (Fossil Fuel Heat)_CDD_1 (Rockford)</v>
          </cell>
          <cell r="G98">
            <v>877</v>
          </cell>
        </row>
        <row r="99">
          <cell r="A99" t="str">
            <v>Residential_Building Shell_Ceiling/Attic Insulation #1 (Fossil Fuel Heat)_CDD_2 (Chicago)</v>
          </cell>
          <cell r="G99">
            <v>1047</v>
          </cell>
        </row>
        <row r="100">
          <cell r="A100" t="str">
            <v>Residential_Building Shell_Ceiling/Attic Insulation #1 (Fossil Fuel Heat)_CDD_3 (Springfield)</v>
          </cell>
          <cell r="G100">
            <v>1183</v>
          </cell>
        </row>
        <row r="101">
          <cell r="A101" t="str">
            <v>Residential_Building Shell_Ceiling/Attic Insulation #1 (Fossil Fuel Heat)_CDD_4 (Belleville)</v>
          </cell>
          <cell r="G101">
            <v>1641</v>
          </cell>
        </row>
        <row r="102">
          <cell r="A102" t="str">
            <v>Residential_Building Shell_Ceiling/Attic Insulation #1 (Fossil Fuel Heat)_CDD_5 (Marion)</v>
          </cell>
          <cell r="G102">
            <v>1450</v>
          </cell>
        </row>
        <row r="103">
          <cell r="A103" t="str">
            <v>Residential_Building Shell_Ceiling/Attic Insulation #1 (Fossil Fuel Heat)_CDD_Weighted Average</v>
          </cell>
          <cell r="G103">
            <v>1098</v>
          </cell>
        </row>
        <row r="104">
          <cell r="A104" t="str">
            <v>Residential_Building Shell_Ceiling/Attic Insulation #1 (Fossil Fuel Heat)_HDD_1 (Rockford)</v>
          </cell>
          <cell r="G104">
            <v>5230</v>
          </cell>
        </row>
        <row r="105">
          <cell r="A105" t="str">
            <v>Residential_Building Shell_Ceiling/Attic Insulation #1 (Fossil Fuel Heat)_HDD_2 (Chicago)</v>
          </cell>
          <cell r="G105">
            <v>4798</v>
          </cell>
        </row>
        <row r="106">
          <cell r="A106" t="str">
            <v>Residential_Building Shell_Ceiling/Attic Insulation #1 (Fossil Fuel Heat)_HDD_3 (Springfield)</v>
          </cell>
          <cell r="G106">
            <v>4266</v>
          </cell>
        </row>
        <row r="107">
          <cell r="A107" t="str">
            <v>Residential_Building Shell_Ceiling/Attic Insulation #1 (Fossil Fuel Heat)_HDD_4 (Belleville)</v>
          </cell>
          <cell r="G107">
            <v>3188</v>
          </cell>
        </row>
        <row r="108">
          <cell r="A108" t="str">
            <v>Residential_Building Shell_Ceiling/Attic Insulation #1 (Fossil Fuel Heat)_HDD_5 (Marion)</v>
          </cell>
          <cell r="G108">
            <v>3390</v>
          </cell>
        </row>
        <row r="109">
          <cell r="A109" t="str">
            <v>Residential_Building Shell_Ceiling/Attic Insulation #1 (Fossil Fuel Heat)_HDD_Weighted Average</v>
          </cell>
          <cell r="G109">
            <v>4631</v>
          </cell>
        </row>
        <row r="110">
          <cell r="A110" t="str">
            <v>Residential_Building Shell_Ceiling/Attic Insulation #1 (Fossil Fuel Heat)_FLH_cooling_1 (Rockford)</v>
          </cell>
          <cell r="G110">
            <v>547</v>
          </cell>
        </row>
        <row r="111">
          <cell r="A111" t="str">
            <v>Residential_Building Shell_Ceiling/Attic Insulation #1 (Fossil Fuel Heat)_FLH_cooling_2 (Chicago)</v>
          </cell>
          <cell r="G111">
            <v>709</v>
          </cell>
        </row>
        <row r="112">
          <cell r="A112" t="str">
            <v>Residential_Building Shell_Ceiling/Attic Insulation #1 (Fossil Fuel Heat)_FLH_cooling_3 (Springfield)</v>
          </cell>
          <cell r="G112">
            <v>779</v>
          </cell>
        </row>
        <row r="113">
          <cell r="A113" t="str">
            <v>Residential_Building Shell_Ceiling/Attic Insulation #1 (Fossil Fuel Heat)_FLH_cooling_4 (Belleville)</v>
          </cell>
          <cell r="G113">
            <v>1082</v>
          </cell>
        </row>
        <row r="114">
          <cell r="A114" t="str">
            <v>Residential_Building Shell_Ceiling/Attic Insulation #1 (Fossil Fuel Heat)_FLH_cooling_5 (Marion)</v>
          </cell>
          <cell r="G114">
            <v>956</v>
          </cell>
        </row>
        <row r="115">
          <cell r="A115" t="str">
            <v>Residential_Building Shell_Ceiling/Attic Insulation #1 (Fossil Fuel Heat)_FLH_cooling_Weighted Average</v>
          </cell>
          <cell r="G115">
            <v>875</v>
          </cell>
        </row>
        <row r="116">
          <cell r="A116" t="str">
            <v>Residential_Building Shell_Ceiling/Attic Insulation #2 (Fossil Fuel Heat)_CDD_1 (Rockford)</v>
          </cell>
          <cell r="G116">
            <v>877</v>
          </cell>
        </row>
        <row r="117">
          <cell r="A117" t="str">
            <v>Residential_Building Shell_Ceiling/Attic Insulation #2 (Fossil Fuel Heat)_CDD_2 (Chicago)</v>
          </cell>
          <cell r="G117">
            <v>1047</v>
          </cell>
        </row>
        <row r="118">
          <cell r="A118" t="str">
            <v>Residential_Building Shell_Ceiling/Attic Insulation #2 (Fossil Fuel Heat)_CDD_3 (Springfield)</v>
          </cell>
          <cell r="G118">
            <v>1183</v>
          </cell>
        </row>
        <row r="119">
          <cell r="A119" t="str">
            <v>Residential_Building Shell_Ceiling/Attic Insulation #2 (Fossil Fuel Heat)_CDD_4 (Belleville)</v>
          </cell>
          <cell r="G119">
            <v>1641</v>
          </cell>
        </row>
        <row r="120">
          <cell r="A120" t="str">
            <v>Residential_Building Shell_Ceiling/Attic Insulation #2 (Fossil Fuel Heat)_CDD_5 (Marion)</v>
          </cell>
          <cell r="G120">
            <v>1450</v>
          </cell>
        </row>
        <row r="121">
          <cell r="A121" t="str">
            <v>Residential_Building Shell_Ceiling/Attic Insulation #2 (Fossil Fuel Heat)_CDD_Weighted Average</v>
          </cell>
          <cell r="G121">
            <v>1098</v>
          </cell>
        </row>
        <row r="122">
          <cell r="A122" t="str">
            <v>Residential_Building Shell_Ceiling/Attic Insulation #2 (Fossil Fuel Heat)_HDD_1 (Rockford)</v>
          </cell>
          <cell r="G122">
            <v>5230</v>
          </cell>
        </row>
        <row r="123">
          <cell r="A123" t="str">
            <v>Residential_Building Shell_Ceiling/Attic Insulation #2 (Fossil Fuel Heat)_HDD_2 (Chicago)</v>
          </cell>
          <cell r="G123">
            <v>4798</v>
          </cell>
        </row>
        <row r="124">
          <cell r="A124" t="str">
            <v>Residential_Building Shell_Ceiling/Attic Insulation #2 (Fossil Fuel Heat)_HDD_3 (Springfield)</v>
          </cell>
          <cell r="G124">
            <v>4266</v>
          </cell>
        </row>
        <row r="125">
          <cell r="A125" t="str">
            <v>Residential_Building Shell_Ceiling/Attic Insulation #2 (Fossil Fuel Heat)_HDD_4 (Belleville)</v>
          </cell>
          <cell r="G125">
            <v>3188</v>
          </cell>
        </row>
        <row r="126">
          <cell r="A126" t="str">
            <v>Residential_Building Shell_Ceiling/Attic Insulation #2 (Fossil Fuel Heat)_HDD_5 (Marion)</v>
          </cell>
          <cell r="G126">
            <v>3390</v>
          </cell>
        </row>
        <row r="127">
          <cell r="A127" t="str">
            <v>Residential_Building Shell_Ceiling/Attic Insulation #2 (Fossil Fuel Heat)_HDD_Weighted Average</v>
          </cell>
          <cell r="G127">
            <v>4631</v>
          </cell>
        </row>
        <row r="128">
          <cell r="A128" t="str">
            <v>Residential_Building Shell_Ceiling/Attic Insulation #2 (Fossil Fuel Heat)_FLH_cooling_1 (Rockford)</v>
          </cell>
          <cell r="G128">
            <v>547</v>
          </cell>
        </row>
        <row r="129">
          <cell r="A129" t="str">
            <v>Residential_Building Shell_Ceiling/Attic Insulation #2 (Fossil Fuel Heat)_FLH_cooling_2 (Chicago)</v>
          </cell>
          <cell r="G129">
            <v>709</v>
          </cell>
        </row>
        <row r="130">
          <cell r="A130" t="str">
            <v>Residential_Building Shell_Ceiling/Attic Insulation #2 (Fossil Fuel Heat)_FLH_cooling_3 (Springfield)</v>
          </cell>
          <cell r="G130">
            <v>779</v>
          </cell>
        </row>
        <row r="131">
          <cell r="A131" t="str">
            <v>Residential_Building Shell_Ceiling/Attic Insulation #2 (Fossil Fuel Heat)_FLH_cooling_4 (Belleville)</v>
          </cell>
          <cell r="G131">
            <v>1082</v>
          </cell>
        </row>
        <row r="132">
          <cell r="A132" t="str">
            <v>Residential_Building Shell_Ceiling/Attic Insulation #2 (Fossil Fuel Heat)_FLH_cooling_5 (Marion)</v>
          </cell>
          <cell r="G132">
            <v>956</v>
          </cell>
        </row>
        <row r="133">
          <cell r="A133" t="str">
            <v>Residential_Building Shell_Ceiling/Attic Insulation #2 (Fossil Fuel Heat)_FLH_cooling_Weighted Average</v>
          </cell>
          <cell r="G133">
            <v>875</v>
          </cell>
        </row>
        <row r="134">
          <cell r="A134" t="str">
            <v>Residential_Building Shell_Attic Kneewall Insulation #1 (Fossil Fuel Heat)_CDD_1 (Rockford)</v>
          </cell>
          <cell r="G134">
            <v>877</v>
          </cell>
        </row>
        <row r="135">
          <cell r="A135" t="str">
            <v>Residential_Building Shell_Attic Kneewall Insulation #1 (Fossil Fuel Heat)_CDD_2 (Chicago)</v>
          </cell>
          <cell r="G135">
            <v>1047</v>
          </cell>
        </row>
        <row r="136">
          <cell r="A136" t="str">
            <v>Residential_Building Shell_Attic Kneewall Insulation #1 (Fossil Fuel Heat)_CDD_3 (Springfield)</v>
          </cell>
          <cell r="G136">
            <v>1183</v>
          </cell>
        </row>
        <row r="137">
          <cell r="A137" t="str">
            <v>Residential_Building Shell_Attic Kneewall Insulation #1 (Fossil Fuel Heat)_CDD_4 (Belleville)</v>
          </cell>
          <cell r="G137">
            <v>1641</v>
          </cell>
        </row>
        <row r="138">
          <cell r="A138" t="str">
            <v>Residential_Building Shell_Attic Kneewall Insulation #1 (Fossil Fuel Heat)_CDD_5 (Marion)</v>
          </cell>
          <cell r="G138">
            <v>1450</v>
          </cell>
        </row>
        <row r="139">
          <cell r="A139" t="str">
            <v>Residential_Building Shell_Attic Kneewall Insulation #1 (Fossil Fuel Heat)_CDD_Weighted Average</v>
          </cell>
          <cell r="G139">
            <v>1098</v>
          </cell>
        </row>
        <row r="140">
          <cell r="A140" t="str">
            <v>Residential_Building Shell_Attic Kneewall Insulation #1 (Fossil Fuel Heat)_HDD_1 (Rockford)</v>
          </cell>
          <cell r="G140">
            <v>5230</v>
          </cell>
        </row>
        <row r="141">
          <cell r="A141" t="str">
            <v>Residential_Building Shell_Attic Kneewall Insulation #1 (Fossil Fuel Heat)_HDD_2 (Chicago)</v>
          </cell>
          <cell r="G141">
            <v>4798</v>
          </cell>
        </row>
        <row r="142">
          <cell r="A142" t="str">
            <v>Residential_Building Shell_Attic Kneewall Insulation #1 (Fossil Fuel Heat)_HDD_3 (Springfield)</v>
          </cell>
          <cell r="G142">
            <v>4266</v>
          </cell>
        </row>
        <row r="143">
          <cell r="A143" t="str">
            <v>Residential_Building Shell_Attic Kneewall Insulation #1 (Fossil Fuel Heat)_HDD_4 (Belleville)</v>
          </cell>
          <cell r="G143">
            <v>3188</v>
          </cell>
        </row>
        <row r="144">
          <cell r="A144" t="str">
            <v>Residential_Building Shell_Attic Kneewall Insulation #1 (Fossil Fuel Heat)_HDD_5 (Marion)</v>
          </cell>
          <cell r="G144">
            <v>3390</v>
          </cell>
        </row>
        <row r="145">
          <cell r="A145" t="str">
            <v>Residential_Building Shell_Attic Kneewall Insulation #1 (Fossil Fuel Heat)_HDD_Weighted Average</v>
          </cell>
          <cell r="G145">
            <v>4631</v>
          </cell>
        </row>
        <row r="146">
          <cell r="A146" t="str">
            <v>Residential_Building Shell_Attic Kneewall Insulation #1 (Fossil Fuel Heat)_FLH_cooling_1 (Rockford)</v>
          </cell>
          <cell r="G146">
            <v>547</v>
          </cell>
        </row>
        <row r="147">
          <cell r="A147" t="str">
            <v>Residential_Building Shell_Attic Kneewall Insulation #1 (Fossil Fuel Heat)_FLH_cooling_2 (Chicago)</v>
          </cell>
          <cell r="G147">
            <v>709</v>
          </cell>
        </row>
        <row r="148">
          <cell r="A148" t="str">
            <v>Residential_Building Shell_Attic Kneewall Insulation #1 (Fossil Fuel Heat)_FLH_cooling_3 (Springfield)</v>
          </cell>
          <cell r="G148">
            <v>779</v>
          </cell>
        </row>
        <row r="149">
          <cell r="A149" t="str">
            <v>Residential_Building Shell_Attic Kneewall Insulation #1 (Fossil Fuel Heat)_FLH_cooling_4 (Belleville)</v>
          </cell>
          <cell r="G149">
            <v>1082</v>
          </cell>
        </row>
        <row r="150">
          <cell r="A150" t="str">
            <v>Residential_Building Shell_Attic Kneewall Insulation #1 (Fossil Fuel Heat)_FLH_cooling_5 (Marion)</v>
          </cell>
          <cell r="G150">
            <v>956</v>
          </cell>
        </row>
        <row r="151">
          <cell r="A151" t="str">
            <v>Residential_Building Shell_Attic Kneewall Insulation #1 (Fossil Fuel Heat)_FLH_cooling_Weighted Average</v>
          </cell>
          <cell r="G151">
            <v>875</v>
          </cell>
        </row>
        <row r="152">
          <cell r="A152" t="str">
            <v>Residential_Building Shell_Attic Kneewall Insulation #2 (Fossil Fuel Heat)_CDD_1 (Rockford)</v>
          </cell>
          <cell r="G152">
            <v>877</v>
          </cell>
        </row>
        <row r="153">
          <cell r="A153" t="str">
            <v>Residential_Building Shell_Attic Kneewall Insulation #2 (Fossil Fuel Heat)_CDD_2 (Chicago)</v>
          </cell>
          <cell r="G153">
            <v>1047</v>
          </cell>
        </row>
        <row r="154">
          <cell r="A154" t="str">
            <v>Residential_Building Shell_Attic Kneewall Insulation #2 (Fossil Fuel Heat)_CDD_3 (Springfield)</v>
          </cell>
          <cell r="G154">
            <v>1183</v>
          </cell>
        </row>
        <row r="155">
          <cell r="A155" t="str">
            <v>Residential_Building Shell_Attic Kneewall Insulation #2 (Fossil Fuel Heat)_CDD_4 (Belleville)</v>
          </cell>
          <cell r="G155">
            <v>1641</v>
          </cell>
        </row>
        <row r="156">
          <cell r="A156" t="str">
            <v>Residential_Building Shell_Attic Kneewall Insulation #2 (Fossil Fuel Heat)_CDD_5 (Marion)</v>
          </cell>
          <cell r="G156">
            <v>1450</v>
          </cell>
        </row>
        <row r="157">
          <cell r="A157" t="str">
            <v>Residential_Building Shell_Attic Kneewall Insulation #2 (Fossil Fuel Heat)_CDD_Weighted Average</v>
          </cell>
          <cell r="G157">
            <v>1098</v>
          </cell>
        </row>
        <row r="158">
          <cell r="A158" t="str">
            <v>Residential_Building Shell_Attic Kneewall Insulation #2 (Fossil Fuel Heat)_HDD_1 (Rockford)</v>
          </cell>
          <cell r="G158">
            <v>5230</v>
          </cell>
        </row>
        <row r="159">
          <cell r="A159" t="str">
            <v>Residential_Building Shell_Attic Kneewall Insulation #2 (Fossil Fuel Heat)_HDD_2 (Chicago)</v>
          </cell>
          <cell r="G159">
            <v>4798</v>
          </cell>
        </row>
        <row r="160">
          <cell r="A160" t="str">
            <v>Residential_Building Shell_Attic Kneewall Insulation #2 (Fossil Fuel Heat)_HDD_3 (Springfield)</v>
          </cell>
          <cell r="G160">
            <v>4266</v>
          </cell>
        </row>
        <row r="161">
          <cell r="A161" t="str">
            <v>Residential_Building Shell_Attic Kneewall Insulation #2 (Fossil Fuel Heat)_HDD_4 (Belleville)</v>
          </cell>
          <cell r="G161">
            <v>3188</v>
          </cell>
        </row>
        <row r="162">
          <cell r="A162" t="str">
            <v>Residential_Building Shell_Attic Kneewall Insulation #2 (Fossil Fuel Heat)_HDD_5 (Marion)</v>
          </cell>
          <cell r="G162">
            <v>3390</v>
          </cell>
        </row>
        <row r="163">
          <cell r="A163" t="str">
            <v>Residential_Building Shell_Attic Kneewall Insulation #2 (Fossil Fuel Heat)_HDD_Weighted Average</v>
          </cell>
          <cell r="G163">
            <v>4631</v>
          </cell>
        </row>
        <row r="164">
          <cell r="A164" t="str">
            <v>Residential_Building Shell_Attic Kneewall Insulation #2 (Fossil Fuel Heat)_FLH_cooling_1 (Rockford)</v>
          </cell>
          <cell r="G164">
            <v>547</v>
          </cell>
        </row>
        <row r="165">
          <cell r="A165" t="str">
            <v>Residential_Building Shell_Attic Kneewall Insulation #2 (Fossil Fuel Heat)_FLH_cooling_2 (Chicago)</v>
          </cell>
          <cell r="G165">
            <v>709</v>
          </cell>
        </row>
        <row r="166">
          <cell r="A166" t="str">
            <v>Residential_Building Shell_Attic Kneewall Insulation #2 (Fossil Fuel Heat)_FLH_cooling_3 (Springfield)</v>
          </cell>
          <cell r="G166">
            <v>779</v>
          </cell>
        </row>
        <row r="167">
          <cell r="A167" t="str">
            <v>Residential_Building Shell_Attic Kneewall Insulation #2 (Fossil Fuel Heat)_FLH_cooling_4 (Belleville)</v>
          </cell>
          <cell r="G167">
            <v>1082</v>
          </cell>
        </row>
        <row r="168">
          <cell r="A168" t="str">
            <v>Residential_Building Shell_Attic Kneewall Insulation #2 (Fossil Fuel Heat)_FLH_cooling_5 (Marion)</v>
          </cell>
          <cell r="G168">
            <v>956</v>
          </cell>
        </row>
        <row r="169">
          <cell r="A169" t="str">
            <v>Residential_Building Shell_Attic Kneewall Insulation #2 (Fossil Fuel Heat)_FLH_cooling_Weighted Average</v>
          </cell>
          <cell r="G169">
            <v>875</v>
          </cell>
        </row>
        <row r="170">
          <cell r="A170" t="str">
            <v>Residential_Building Shell_Ceiling/Attic Insulation #1 (Electric Heat)_CDD_1 (Rockford)</v>
          </cell>
          <cell r="G170">
            <v>877</v>
          </cell>
        </row>
        <row r="171">
          <cell r="A171" t="str">
            <v>Residential_Building Shell_Ceiling/Attic Insulation #1 (Electric Heat)_CDD_2 (Chicago)</v>
          </cell>
          <cell r="G171">
            <v>1047</v>
          </cell>
        </row>
        <row r="172">
          <cell r="A172" t="str">
            <v>Residential_Building Shell_Ceiling/Attic Insulation #1 (Electric Heat)_CDD_3 (Springfield)</v>
          </cell>
          <cell r="G172">
            <v>1183</v>
          </cell>
        </row>
        <row r="173">
          <cell r="A173" t="str">
            <v>Residential_Building Shell_Ceiling/Attic Insulation #1 (Electric Heat)_CDD_4 (Belleville)</v>
          </cell>
          <cell r="G173">
            <v>1641</v>
          </cell>
        </row>
        <row r="174">
          <cell r="A174" t="str">
            <v>Residential_Building Shell_Ceiling/Attic Insulation #1 (Electric Heat)_CDD_5 (Marion)</v>
          </cell>
          <cell r="G174">
            <v>1450</v>
          </cell>
        </row>
        <row r="175">
          <cell r="A175" t="str">
            <v>Residential_Building Shell_Ceiling/Attic Insulation #1 (Electric Heat)_CDD_Weighted Average</v>
          </cell>
          <cell r="G175">
            <v>1098</v>
          </cell>
        </row>
        <row r="176">
          <cell r="A176" t="str">
            <v>Residential_Building Shell_Ceiling/Attic Insulation #1 (Electric Heat)_HDD_1 (Rockford)</v>
          </cell>
          <cell r="G176">
            <v>5230</v>
          </cell>
        </row>
        <row r="177">
          <cell r="A177" t="str">
            <v>Residential_Building Shell_Ceiling/Attic Insulation #1 (Electric Heat)_HDD_2 (Chicago)</v>
          </cell>
          <cell r="G177">
            <v>4798</v>
          </cell>
        </row>
        <row r="178">
          <cell r="A178" t="str">
            <v>Residential_Building Shell_Ceiling/Attic Insulation #1 (Electric Heat)_HDD_3 (Springfield)</v>
          </cell>
          <cell r="G178">
            <v>4266</v>
          </cell>
        </row>
        <row r="179">
          <cell r="A179" t="str">
            <v>Residential_Building Shell_Ceiling/Attic Insulation #1 (Electric Heat)_HDD_4 (Belleville)</v>
          </cell>
          <cell r="G179">
            <v>3188</v>
          </cell>
        </row>
        <row r="180">
          <cell r="A180" t="str">
            <v>Residential_Building Shell_Ceiling/Attic Insulation #1 (Electric Heat)_HDD_5 (Marion)</v>
          </cell>
          <cell r="G180">
            <v>3390</v>
          </cell>
        </row>
        <row r="181">
          <cell r="A181" t="str">
            <v>Residential_Building Shell_Ceiling/Attic Insulation #1 (Electric Heat)_HDD_Weighted Average</v>
          </cell>
          <cell r="G181">
            <v>4631</v>
          </cell>
        </row>
        <row r="182">
          <cell r="A182" t="str">
            <v>Residential_Building Shell_Ceiling/Attic Insulation #1 (Electric Heat)_FLH_cooling_1 (Rockford)</v>
          </cell>
          <cell r="G182">
            <v>547</v>
          </cell>
        </row>
        <row r="183">
          <cell r="A183" t="str">
            <v>Residential_Building Shell_Ceiling/Attic Insulation #1 (Electric Heat)_FLH_cooling_2 (Chicago)</v>
          </cell>
          <cell r="G183">
            <v>709</v>
          </cell>
        </row>
        <row r="184">
          <cell r="A184" t="str">
            <v>Residential_Building Shell_Ceiling/Attic Insulation #1 (Electric Heat)_FLH_cooling_3 (Springfield)</v>
          </cell>
          <cell r="G184">
            <v>779</v>
          </cell>
        </row>
        <row r="185">
          <cell r="A185" t="str">
            <v>Residential_Building Shell_Ceiling/Attic Insulation #1 (Electric Heat)_FLH_cooling_4 (Belleville)</v>
          </cell>
          <cell r="G185">
            <v>1082</v>
          </cell>
        </row>
        <row r="186">
          <cell r="A186" t="str">
            <v>Residential_Building Shell_Ceiling/Attic Insulation #1 (Electric Heat)_FLH_cooling_5 (Marion)</v>
          </cell>
          <cell r="G186">
            <v>956</v>
          </cell>
        </row>
        <row r="187">
          <cell r="A187" t="str">
            <v>Residential_Building Shell_Ceiling/Attic Insulation #1 (Electric Heat)_FLH_cooling_Weighted Average</v>
          </cell>
          <cell r="G187">
            <v>875</v>
          </cell>
        </row>
        <row r="188">
          <cell r="A188" t="str">
            <v>Residential_Building Shell_Ceiling/Attic Insulation #2 (Electric Heat)_CDD_1 (Rockford)</v>
          </cell>
          <cell r="G188">
            <v>877</v>
          </cell>
        </row>
        <row r="189">
          <cell r="A189" t="str">
            <v>Residential_Building Shell_Ceiling/Attic Insulation #2 (Electric Heat)_CDD_2 (Chicago)</v>
          </cell>
          <cell r="G189">
            <v>1047</v>
          </cell>
        </row>
        <row r="190">
          <cell r="A190" t="str">
            <v>Residential_Building Shell_Ceiling/Attic Insulation #2 (Electric Heat)_CDD_3 (Springfield)</v>
          </cell>
          <cell r="G190">
            <v>1183</v>
          </cell>
        </row>
        <row r="191">
          <cell r="A191" t="str">
            <v>Residential_Building Shell_Ceiling/Attic Insulation #2 (Electric Heat)_CDD_4 (Belleville)</v>
          </cell>
          <cell r="G191">
            <v>1641</v>
          </cell>
        </row>
        <row r="192">
          <cell r="A192" t="str">
            <v>Residential_Building Shell_Ceiling/Attic Insulation #2 (Electric Heat)_CDD_5 (Marion)</v>
          </cell>
          <cell r="G192">
            <v>1450</v>
          </cell>
        </row>
        <row r="193">
          <cell r="A193" t="str">
            <v>Residential_Building Shell_Ceiling/Attic Insulation #2 (Electric Heat)_CDD_Weighted Average</v>
          </cell>
          <cell r="G193">
            <v>1098</v>
          </cell>
        </row>
        <row r="194">
          <cell r="A194" t="str">
            <v>Residential_Building Shell_Ceiling/Attic Insulation #2 (Electric Heat)_HDD_1 (Rockford)</v>
          </cell>
          <cell r="G194">
            <v>5230</v>
          </cell>
        </row>
        <row r="195">
          <cell r="A195" t="str">
            <v>Residential_Building Shell_Ceiling/Attic Insulation #2 (Electric Heat)_HDD_2 (Chicago)</v>
          </cell>
          <cell r="G195">
            <v>4798</v>
          </cell>
        </row>
        <row r="196">
          <cell r="A196" t="str">
            <v>Residential_Building Shell_Ceiling/Attic Insulation #2 (Electric Heat)_HDD_3 (Springfield)</v>
          </cell>
          <cell r="G196">
            <v>4266</v>
          </cell>
        </row>
        <row r="197">
          <cell r="A197" t="str">
            <v>Residential_Building Shell_Ceiling/Attic Insulation #2 (Electric Heat)_HDD_4 (Belleville)</v>
          </cell>
          <cell r="G197">
            <v>3188</v>
          </cell>
        </row>
        <row r="198">
          <cell r="A198" t="str">
            <v>Residential_Building Shell_Ceiling/Attic Insulation #2 (Electric Heat)_HDD_5 (Marion)</v>
          </cell>
          <cell r="G198">
            <v>3390</v>
          </cell>
        </row>
        <row r="199">
          <cell r="A199" t="str">
            <v>Residential_Building Shell_Ceiling/Attic Insulation #2 (Electric Heat)_HDD_Weighted Average</v>
          </cell>
          <cell r="G199">
            <v>4631</v>
          </cell>
        </row>
        <row r="200">
          <cell r="A200" t="str">
            <v>Residential_Building Shell_Ceiling/Attic Insulation #2 (Electric Heat)_FLH_cooling_1 (Rockford)</v>
          </cell>
          <cell r="G200">
            <v>547</v>
          </cell>
        </row>
        <row r="201">
          <cell r="A201" t="str">
            <v>Residential_Building Shell_Ceiling/Attic Insulation #2 (Electric Heat)_FLH_cooling_2 (Chicago)</v>
          </cell>
          <cell r="G201">
            <v>709</v>
          </cell>
        </row>
        <row r="202">
          <cell r="A202" t="str">
            <v>Residential_Building Shell_Ceiling/Attic Insulation #2 (Electric Heat)_FLH_cooling_3 (Springfield)</v>
          </cell>
          <cell r="G202">
            <v>779</v>
          </cell>
        </row>
        <row r="203">
          <cell r="A203" t="str">
            <v>Residential_Building Shell_Ceiling/Attic Insulation #2 (Electric Heat)_FLH_cooling_4 (Belleville)</v>
          </cell>
          <cell r="G203">
            <v>1082</v>
          </cell>
        </row>
        <row r="204">
          <cell r="A204" t="str">
            <v>Residential_Building Shell_Ceiling/Attic Insulation #2 (Electric Heat)_FLH_cooling_5 (Marion)</v>
          </cell>
          <cell r="G204">
            <v>956</v>
          </cell>
        </row>
        <row r="205">
          <cell r="A205" t="str">
            <v>Residential_Building Shell_Ceiling/Attic Insulation #2 (Electric Heat)_FLH_cooling_Weighted Average</v>
          </cell>
          <cell r="G205">
            <v>875</v>
          </cell>
        </row>
        <row r="206">
          <cell r="A206" t="str">
            <v>Residential_Building Shell_Attic Kneewall Insulation #1 (Electric Heat)_CDD_1 (Rockford)</v>
          </cell>
          <cell r="G206">
            <v>877</v>
          </cell>
        </row>
        <row r="207">
          <cell r="A207" t="str">
            <v>Residential_Building Shell_Attic Kneewall Insulation #1 (Electric Heat)_CDD_2 (Chicago)</v>
          </cell>
          <cell r="G207">
            <v>1047</v>
          </cell>
        </row>
        <row r="208">
          <cell r="A208" t="str">
            <v>Residential_Building Shell_Attic Kneewall Insulation #1 (Electric Heat)_CDD_3 (Springfield)</v>
          </cell>
          <cell r="G208">
            <v>1183</v>
          </cell>
        </row>
        <row r="209">
          <cell r="A209" t="str">
            <v>Residential_Building Shell_Attic Kneewall Insulation #1 (Electric Heat)_CDD_4 (Belleville)</v>
          </cell>
          <cell r="G209">
            <v>1641</v>
          </cell>
        </row>
        <row r="210">
          <cell r="A210" t="str">
            <v>Residential_Building Shell_Attic Kneewall Insulation #1 (Electric Heat)_CDD_5 (Marion)</v>
          </cell>
          <cell r="G210">
            <v>1450</v>
          </cell>
        </row>
        <row r="211">
          <cell r="A211" t="str">
            <v>Residential_Building Shell_Attic Kneewall Insulation #1 (Electric Heat)_CDD_Weighted Average</v>
          </cell>
          <cell r="G211">
            <v>1098</v>
          </cell>
        </row>
        <row r="212">
          <cell r="A212" t="str">
            <v>Residential_Building Shell_Attic Kneewall Insulation #1 (Electric Heat)_HDD_1 (Rockford)</v>
          </cell>
          <cell r="G212">
            <v>5230</v>
          </cell>
        </row>
        <row r="213">
          <cell r="A213" t="str">
            <v>Residential_Building Shell_Attic Kneewall Insulation #1 (Electric Heat)_HDD_2 (Chicago)</v>
          </cell>
          <cell r="G213">
            <v>4798</v>
          </cell>
        </row>
        <row r="214">
          <cell r="A214" t="str">
            <v>Residential_Building Shell_Attic Kneewall Insulation #1 (Electric Heat)_HDD_3 (Springfield)</v>
          </cell>
          <cell r="G214">
            <v>4266</v>
          </cell>
        </row>
        <row r="215">
          <cell r="A215" t="str">
            <v>Residential_Building Shell_Attic Kneewall Insulation #1 (Electric Heat)_HDD_4 (Belleville)</v>
          </cell>
          <cell r="G215">
            <v>3188</v>
          </cell>
        </row>
        <row r="216">
          <cell r="A216" t="str">
            <v>Residential_Building Shell_Attic Kneewall Insulation #1 (Electric Heat)_HDD_5 (Marion)</v>
          </cell>
          <cell r="G216">
            <v>3390</v>
          </cell>
        </row>
        <row r="217">
          <cell r="A217" t="str">
            <v>Residential_Building Shell_Attic Kneewall Insulation #1 (Electric Heat)_HDD_Weighted Average</v>
          </cell>
          <cell r="G217">
            <v>4631</v>
          </cell>
        </row>
        <row r="218">
          <cell r="A218" t="str">
            <v>Residential_Building Shell_Attic Kneewall Insulation #1 (Electric Heat)_FLH_cooling_1 (Rockford)</v>
          </cell>
          <cell r="G218">
            <v>547</v>
          </cell>
        </row>
        <row r="219">
          <cell r="A219" t="str">
            <v>Residential_Building Shell_Attic Kneewall Insulation #1 (Electric Heat)_FLH_cooling_2 (Chicago)</v>
          </cell>
          <cell r="G219">
            <v>709</v>
          </cell>
        </row>
        <row r="220">
          <cell r="A220" t="str">
            <v>Residential_Building Shell_Attic Kneewall Insulation #1 (Electric Heat)_FLH_cooling_3 (Springfield)</v>
          </cell>
          <cell r="G220">
            <v>779</v>
          </cell>
        </row>
        <row r="221">
          <cell r="A221" t="str">
            <v>Residential_Building Shell_Attic Kneewall Insulation #1 (Electric Heat)_FLH_cooling_4 (Belleville)</v>
          </cell>
          <cell r="G221">
            <v>1082</v>
          </cell>
        </row>
        <row r="222">
          <cell r="A222" t="str">
            <v>Residential_Building Shell_Attic Kneewall Insulation #1 (Electric Heat)_FLH_cooling_5 (Marion)</v>
          </cell>
          <cell r="G222">
            <v>956</v>
          </cell>
        </row>
        <row r="223">
          <cell r="A223" t="str">
            <v>Residential_Building Shell_Attic Kneewall Insulation #1 (Electric Heat)_FLH_cooling_Weighted Average</v>
          </cell>
          <cell r="G223">
            <v>875</v>
          </cell>
        </row>
        <row r="224">
          <cell r="A224" t="str">
            <v>Residential_Building Shell_Attic Kneewall Insulation #2 (Electric Heat)_CDD_1 (Rockford)</v>
          </cell>
          <cell r="G224">
            <v>877</v>
          </cell>
        </row>
        <row r="225">
          <cell r="A225" t="str">
            <v>Residential_Building Shell_Attic Kneewall Insulation #2 (Electric Heat)_CDD_2 (Chicago)</v>
          </cell>
          <cell r="G225">
            <v>1047</v>
          </cell>
        </row>
        <row r="226">
          <cell r="A226" t="str">
            <v>Residential_Building Shell_Attic Kneewall Insulation #2 (Electric Heat)_CDD_3 (Springfield)</v>
          </cell>
          <cell r="G226">
            <v>1183</v>
          </cell>
        </row>
        <row r="227">
          <cell r="A227" t="str">
            <v>Residential_Building Shell_Attic Kneewall Insulation #2 (Electric Heat)_CDD_4 (Belleville)</v>
          </cell>
          <cell r="G227">
            <v>1641</v>
          </cell>
        </row>
        <row r="228">
          <cell r="A228" t="str">
            <v>Residential_Building Shell_Attic Kneewall Insulation #2 (Electric Heat)_CDD_5 (Marion)</v>
          </cell>
          <cell r="G228">
            <v>1450</v>
          </cell>
        </row>
        <row r="229">
          <cell r="A229" t="str">
            <v>Residential_Building Shell_Attic Kneewall Insulation #2 (Electric Heat)_CDD_Weighted Average</v>
          </cell>
          <cell r="G229">
            <v>1098</v>
          </cell>
        </row>
        <row r="230">
          <cell r="A230" t="str">
            <v>Residential_Building Shell_Attic Kneewall Insulation #2 (Electric Heat)_HDD_1 (Rockford)</v>
          </cell>
          <cell r="G230">
            <v>5230</v>
          </cell>
        </row>
        <row r="231">
          <cell r="A231" t="str">
            <v>Residential_Building Shell_Attic Kneewall Insulation #2 (Electric Heat)_HDD_2 (Chicago)</v>
          </cell>
          <cell r="G231">
            <v>4798</v>
          </cell>
        </row>
        <row r="232">
          <cell r="A232" t="str">
            <v>Residential_Building Shell_Attic Kneewall Insulation #2 (Electric Heat)_HDD_3 (Springfield)</v>
          </cell>
          <cell r="G232">
            <v>4266</v>
          </cell>
        </row>
        <row r="233">
          <cell r="A233" t="str">
            <v>Residential_Building Shell_Attic Kneewall Insulation #2 (Electric Heat)_HDD_4 (Belleville)</v>
          </cell>
          <cell r="G233">
            <v>3188</v>
          </cell>
        </row>
        <row r="234">
          <cell r="A234" t="str">
            <v>Residential_Building Shell_Attic Kneewall Insulation #2 (Electric Heat)_HDD_5 (Marion)</v>
          </cell>
          <cell r="G234">
            <v>3390</v>
          </cell>
        </row>
        <row r="235">
          <cell r="A235" t="str">
            <v>Residential_Building Shell_Attic Kneewall Insulation #2 (Electric Heat)_HDD_Weighted Average</v>
          </cell>
          <cell r="G235">
            <v>4631</v>
          </cell>
        </row>
        <row r="236">
          <cell r="A236" t="str">
            <v>Residential_Building Shell_Attic Kneewall Insulation #2 (Electric Heat)_FLH_cooling_1 (Rockford)</v>
          </cell>
          <cell r="G236">
            <v>547</v>
          </cell>
        </row>
        <row r="237">
          <cell r="A237" t="str">
            <v>Residential_Building Shell_Attic Kneewall Insulation #2 (Electric Heat)_FLH_cooling_2 (Chicago)</v>
          </cell>
          <cell r="G237">
            <v>709</v>
          </cell>
        </row>
        <row r="238">
          <cell r="A238" t="str">
            <v>Residential_Building Shell_Attic Kneewall Insulation #2 (Electric Heat)_FLH_cooling_3 (Springfield)</v>
          </cell>
          <cell r="G238">
            <v>779</v>
          </cell>
        </row>
        <row r="239">
          <cell r="A239" t="str">
            <v>Residential_Building Shell_Attic Kneewall Insulation #2 (Electric Heat)_FLH_cooling_4 (Belleville)</v>
          </cell>
          <cell r="G239">
            <v>1082</v>
          </cell>
        </row>
        <row r="240">
          <cell r="A240" t="str">
            <v>Residential_Building Shell_Attic Kneewall Insulation #2 (Electric Heat)_FLH_cooling_5 (Marion)</v>
          </cell>
          <cell r="G240">
            <v>956</v>
          </cell>
        </row>
        <row r="241">
          <cell r="A241" t="str">
            <v>Residential_Building Shell_Attic Kneewall Insulation #2 (Electric Heat)_FLH_cooling_Weighted Average</v>
          </cell>
          <cell r="G241">
            <v>875</v>
          </cell>
        </row>
        <row r="242">
          <cell r="A242" t="str">
            <v>Residential_Building Shell_Air Sealing (Fossil Fuel Heat)_CDD_1 (Rockford)</v>
          </cell>
          <cell r="G242">
            <v>877</v>
          </cell>
        </row>
        <row r="243">
          <cell r="A243" t="str">
            <v>Residential_Building Shell_Air Sealing (Fossil Fuel Heat)_CDD_2 (Chicago)</v>
          </cell>
          <cell r="G243">
            <v>1047</v>
          </cell>
        </row>
        <row r="244">
          <cell r="A244" t="str">
            <v>Residential_Building Shell_Air Sealing (Fossil Fuel Heat)_CDD_3 (Springfield)</v>
          </cell>
          <cell r="G244">
            <v>1183</v>
          </cell>
        </row>
        <row r="245">
          <cell r="A245" t="str">
            <v>Residential_Building Shell_Air Sealing (Fossil Fuel Heat)_CDD_4 (Belleville)</v>
          </cell>
          <cell r="G245">
            <v>1641</v>
          </cell>
        </row>
        <row r="246">
          <cell r="A246" t="str">
            <v>Residential_Building Shell_Air Sealing (Fossil Fuel Heat)_CDD_5 (Marion)</v>
          </cell>
          <cell r="G246">
            <v>1450</v>
          </cell>
        </row>
        <row r="247">
          <cell r="A247" t="str">
            <v>Residential_Building Shell_Air Sealing (Fossil Fuel Heat)_HDD_1 (Rockford)</v>
          </cell>
          <cell r="G247">
            <v>5230</v>
          </cell>
        </row>
        <row r="248">
          <cell r="A248" t="str">
            <v>Residential_Building Shell_Air Sealing (Fossil Fuel Heat)_HDD_2 (Chicago)</v>
          </cell>
          <cell r="G248">
            <v>4798</v>
          </cell>
        </row>
        <row r="249">
          <cell r="A249" t="str">
            <v>Residential_Building Shell_Air Sealing (Fossil Fuel Heat)_HDD_3 (Springfield)</v>
          </cell>
          <cell r="G249">
            <v>4266</v>
          </cell>
        </row>
        <row r="250">
          <cell r="A250" t="str">
            <v>Residential_Building Shell_Air Sealing (Fossil Fuel Heat)_HDD_4 (Belleville)</v>
          </cell>
          <cell r="G250">
            <v>3188</v>
          </cell>
        </row>
        <row r="251">
          <cell r="A251" t="str">
            <v>Residential_Building Shell_Air Sealing (Fossil Fuel Heat)_HDD_5 (Marion)</v>
          </cell>
          <cell r="G251">
            <v>3390</v>
          </cell>
        </row>
        <row r="252">
          <cell r="A252" t="str">
            <v>Residential_Building Shell_Air Sealing (Fossil Fuel Heat)_FLH_cooling_1 (Rockford)</v>
          </cell>
          <cell r="G252">
            <v>547</v>
          </cell>
        </row>
        <row r="253">
          <cell r="A253" t="str">
            <v>Residential_Building Shell_Air Sealing (Fossil Fuel Heat)_FLH_cooling_2 (Chicago)</v>
          </cell>
          <cell r="G253">
            <v>709</v>
          </cell>
        </row>
        <row r="254">
          <cell r="A254" t="str">
            <v>Residential_Building Shell_Air Sealing (Fossil Fuel Heat)_FLH_cooling_3 (Springfield)</v>
          </cell>
          <cell r="G254">
            <v>779</v>
          </cell>
        </row>
        <row r="255">
          <cell r="A255" t="str">
            <v>Residential_Building Shell_Air Sealing (Fossil Fuel Heat)_FLH_cooling_4 (Belleville)</v>
          </cell>
          <cell r="G255">
            <v>1082</v>
          </cell>
        </row>
        <row r="256">
          <cell r="A256" t="str">
            <v>Residential_Building Shell_Air Sealing (Fossil Fuel Heat)_FLH_cooling_5 (Marion)</v>
          </cell>
          <cell r="G256">
            <v>956</v>
          </cell>
        </row>
        <row r="257">
          <cell r="A257" t="str">
            <v>Residential_Building Shell_Air Sealing (Electric Heat)_CDD_1 (Rockford)</v>
          </cell>
          <cell r="G257">
            <v>877</v>
          </cell>
        </row>
        <row r="258">
          <cell r="A258" t="str">
            <v>Residential_Building Shell_Air Sealing (Electric Heat)_CDD_2 (Chicago)</v>
          </cell>
          <cell r="G258">
            <v>1047</v>
          </cell>
        </row>
        <row r="259">
          <cell r="A259" t="str">
            <v>Residential_Building Shell_Air Sealing (Electric Heat)_CDD_3 (Springfield)</v>
          </cell>
          <cell r="G259">
            <v>1183</v>
          </cell>
        </row>
        <row r="260">
          <cell r="A260" t="str">
            <v>Residential_Building Shell_Air Sealing (Electric Heat)_CDD_4 (Belleville)</v>
          </cell>
          <cell r="G260">
            <v>1641</v>
          </cell>
        </row>
        <row r="261">
          <cell r="A261" t="str">
            <v>Residential_Building Shell_Air Sealing (Electric Heat)_CDD_5 (Marion)</v>
          </cell>
          <cell r="G261">
            <v>1450</v>
          </cell>
        </row>
        <row r="262">
          <cell r="A262" t="str">
            <v>Residential_Building Shell_Air Sealing (Electric Heat)_HDD_1 (Rockford)</v>
          </cell>
          <cell r="G262">
            <v>5230</v>
          </cell>
        </row>
        <row r="263">
          <cell r="A263" t="str">
            <v>Residential_Building Shell_Air Sealing (Electric Heat)_HDD_2 (Chicago)</v>
          </cell>
          <cell r="G263">
            <v>4798</v>
          </cell>
        </row>
        <row r="264">
          <cell r="A264" t="str">
            <v>Residential_Building Shell_Air Sealing (Electric Heat)_HDD_3 (Springfield)</v>
          </cell>
          <cell r="G264">
            <v>4266</v>
          </cell>
        </row>
        <row r="265">
          <cell r="A265" t="str">
            <v>Residential_Building Shell_Air Sealing (Electric Heat)_HDD_4 (Belleville)</v>
          </cell>
          <cell r="G265">
            <v>3188</v>
          </cell>
        </row>
        <row r="266">
          <cell r="A266" t="str">
            <v>Residential_Building Shell_Air Sealing (Electric Heat)_HDD_5 (Marion)</v>
          </cell>
          <cell r="G266">
            <v>3390</v>
          </cell>
        </row>
        <row r="267">
          <cell r="A267" t="str">
            <v>Residential_Building Shell_Air Sealing (Electric Heat)_FLH_cooling_1 (Rockford)</v>
          </cell>
          <cell r="G267">
            <v>547</v>
          </cell>
        </row>
        <row r="268">
          <cell r="A268" t="str">
            <v>Residential_Building Shell_Air Sealing (Electric Heat)_FLH_cooling_2 (Chicago)</v>
          </cell>
          <cell r="G268">
            <v>709</v>
          </cell>
        </row>
        <row r="269">
          <cell r="A269" t="str">
            <v>Residential_Building Shell_Air Sealing (Electric Heat)_FLH_cooling_3 (Springfield)</v>
          </cell>
          <cell r="G269">
            <v>779</v>
          </cell>
        </row>
        <row r="270">
          <cell r="A270" t="str">
            <v>Residential_Building Shell_Air Sealing (Electric Heat)_FLH_cooling_4 (Belleville)</v>
          </cell>
          <cell r="G270">
            <v>1082</v>
          </cell>
        </row>
        <row r="271">
          <cell r="A271" t="str">
            <v>Residential_Building Shell_Air Sealing (Electric Heat)_FLH_cooling_5 (Marion)</v>
          </cell>
          <cell r="G271">
            <v>956</v>
          </cell>
        </row>
        <row r="272">
          <cell r="A272" t="str">
            <v>Residential_Building Shell_Wall Insulation (Fossil Fuel Heat)_CDD_1 (Rockford)</v>
          </cell>
          <cell r="G272">
            <v>877</v>
          </cell>
        </row>
        <row r="273">
          <cell r="A273" t="str">
            <v>Residential_Building Shell_Wall Insulation (Fossil Fuel Heat)_CDD_2 (Chicago)</v>
          </cell>
          <cell r="G273">
            <v>1047</v>
          </cell>
        </row>
        <row r="274">
          <cell r="A274" t="str">
            <v>Residential_Building Shell_Wall Insulation (Fossil Fuel Heat)_CDD_3 (Springfield)</v>
          </cell>
          <cell r="G274">
            <v>1183</v>
          </cell>
        </row>
        <row r="275">
          <cell r="A275" t="str">
            <v>Residential_Building Shell_Wall Insulation (Fossil Fuel Heat)_CDD_4 (Belleville)</v>
          </cell>
          <cell r="G275">
            <v>1641</v>
          </cell>
        </row>
        <row r="276">
          <cell r="A276" t="str">
            <v>Residential_Building Shell_Wall Insulation (Fossil Fuel Heat)_CDD_5 (Marion)</v>
          </cell>
          <cell r="G276">
            <v>1450</v>
          </cell>
        </row>
        <row r="277">
          <cell r="A277" t="str">
            <v>Residential_Building Shell_Wall Insulation (Fossil Fuel Heat)_HDD_1 (Rockford)</v>
          </cell>
          <cell r="G277">
            <v>5230</v>
          </cell>
        </row>
        <row r="278">
          <cell r="A278" t="str">
            <v>Residential_Building Shell_Wall Insulation (Fossil Fuel Heat)_HDD_2 (Chicago)</v>
          </cell>
          <cell r="G278">
            <v>4798</v>
          </cell>
        </row>
        <row r="279">
          <cell r="A279" t="str">
            <v>Residential_Building Shell_Wall Insulation (Fossil Fuel Heat)_HDD_3 (Springfield)</v>
          </cell>
          <cell r="G279">
            <v>4266</v>
          </cell>
        </row>
        <row r="280">
          <cell r="A280" t="str">
            <v>Residential_Building Shell_Wall Insulation (Fossil Fuel Heat)_HDD_4 (Belleville)</v>
          </cell>
          <cell r="G280">
            <v>3188</v>
          </cell>
        </row>
        <row r="281">
          <cell r="A281" t="str">
            <v>Residential_Building Shell_Wall Insulation (Fossil Fuel Heat)_HDD_5 (Marion)</v>
          </cell>
          <cell r="G281">
            <v>3390</v>
          </cell>
        </row>
        <row r="282">
          <cell r="A282" t="str">
            <v>Residential_Building Shell_Wall Insulation (Fossil Fuel Heat)_FLH_cooling_1 (Rockford)</v>
          </cell>
          <cell r="G282">
            <v>547</v>
          </cell>
        </row>
        <row r="283">
          <cell r="A283" t="str">
            <v>Residential_Building Shell_Wall Insulation (Fossil Fuel Heat)_FLH_cooling_2 (Chicago)</v>
          </cell>
          <cell r="G283">
            <v>709</v>
          </cell>
        </row>
        <row r="284">
          <cell r="A284" t="str">
            <v>Residential_Building Shell_Wall Insulation (Fossil Fuel Heat)_FLH_cooling_3 (Springfield)</v>
          </cell>
          <cell r="G284">
            <v>779</v>
          </cell>
        </row>
        <row r="285">
          <cell r="A285" t="str">
            <v>Residential_Building Shell_Wall Insulation (Fossil Fuel Heat)_FLH_cooling_4 (Belleville)</v>
          </cell>
          <cell r="G285">
            <v>1082</v>
          </cell>
        </row>
        <row r="286">
          <cell r="A286" t="str">
            <v>Residential_Building Shell_Wall Insulation (Fossil Fuel Heat)_FLH_cooling_5 (Marion)</v>
          </cell>
          <cell r="G286">
            <v>956</v>
          </cell>
        </row>
        <row r="287">
          <cell r="A287" t="str">
            <v>Residential_Building Shell_Wall Insulation (Electric Heat)_CDD_1 (Rockford)</v>
          </cell>
          <cell r="G287">
            <v>877</v>
          </cell>
        </row>
        <row r="288">
          <cell r="A288" t="str">
            <v>Residential_Building Shell_Wall Insulation (Electric Heat)_CDD_2 (Chicago)</v>
          </cell>
          <cell r="G288">
            <v>1047</v>
          </cell>
        </row>
        <row r="289">
          <cell r="A289" t="str">
            <v>Residential_Building Shell_Wall Insulation (Electric Heat)_CDD_3 (Springfield)</v>
          </cell>
          <cell r="G289">
            <v>1183</v>
          </cell>
        </row>
        <row r="290">
          <cell r="A290" t="str">
            <v>Residential_Building Shell_Wall Insulation (Electric Heat)_CDD_4 (Belleville)</v>
          </cell>
          <cell r="G290">
            <v>1641</v>
          </cell>
        </row>
        <row r="291">
          <cell r="A291" t="str">
            <v>Residential_Building Shell_Wall Insulation (Electric Heat)_CDD_5 (Marion)</v>
          </cell>
          <cell r="G291">
            <v>1450</v>
          </cell>
        </row>
        <row r="292">
          <cell r="A292" t="str">
            <v>Residential_Building Shell_Wall Insulation (Electric Heat)_HDD_1 (Rockford)</v>
          </cell>
          <cell r="G292">
            <v>5230</v>
          </cell>
        </row>
        <row r="293">
          <cell r="A293" t="str">
            <v>Residential_Building Shell_Wall Insulation (Electric Heat)_HDD_2 (Chicago)</v>
          </cell>
          <cell r="G293">
            <v>4798</v>
          </cell>
        </row>
        <row r="294">
          <cell r="A294" t="str">
            <v>Residential_Building Shell_Wall Insulation (Electric Heat)_HDD_3 (Springfield)</v>
          </cell>
          <cell r="G294">
            <v>4266</v>
          </cell>
        </row>
        <row r="295">
          <cell r="A295" t="str">
            <v>Residential_Building Shell_Wall Insulation (Electric Heat)_HDD_4 (Belleville)</v>
          </cell>
          <cell r="G295">
            <v>3188</v>
          </cell>
        </row>
        <row r="296">
          <cell r="A296" t="str">
            <v>Residential_Building Shell_Wall Insulation (Electric Heat)_HDD_5 (Marion)</v>
          </cell>
          <cell r="G296">
            <v>3390</v>
          </cell>
        </row>
        <row r="297">
          <cell r="A297" t="str">
            <v>Residential_Building Shell_Wall Insulation (Electric Heat)_FLH_cooling_1 (Rockford)</v>
          </cell>
          <cell r="G297">
            <v>547</v>
          </cell>
        </row>
        <row r="298">
          <cell r="A298" t="str">
            <v>Residential_Building Shell_Wall Insulation (Electric Heat)_FLH_cooling_2 (Chicago)</v>
          </cell>
          <cell r="G298">
            <v>709</v>
          </cell>
        </row>
        <row r="299">
          <cell r="A299" t="str">
            <v>Residential_Building Shell_Wall Insulation (Electric Heat)_FLH_cooling_3 (Springfield)</v>
          </cell>
          <cell r="G299">
            <v>779</v>
          </cell>
        </row>
        <row r="300">
          <cell r="A300" t="str">
            <v>Residential_Building Shell_Wall Insulation (Electric Heat)_FLH_cooling_4 (Belleville)</v>
          </cell>
          <cell r="G300">
            <v>1082</v>
          </cell>
        </row>
        <row r="301">
          <cell r="A301" t="str">
            <v>Residential_Building Shell_Wall Insulation (Electric Heat)_FLH_cooling_5 (Marion)</v>
          </cell>
          <cell r="G301">
            <v>956</v>
          </cell>
        </row>
        <row r="302">
          <cell r="A302" t="str">
            <v>Residential_Building Shell_Rim/Band Joist Insulation (Fossil Fuel Heat)_CDD_1 (Rockford)</v>
          </cell>
          <cell r="G302">
            <v>326</v>
          </cell>
        </row>
        <row r="303">
          <cell r="A303" t="str">
            <v>Residential_Building Shell_Rim/Band Joist Insulation (Fossil Fuel Heat)_CDD_2 (Chicago)</v>
          </cell>
          <cell r="G303">
            <v>354</v>
          </cell>
        </row>
        <row r="304">
          <cell r="A304" t="str">
            <v>Residential_Building Shell_Rim/Band Joist Insulation (Fossil Fuel Heat)_CDD_3 (Springfield)</v>
          </cell>
          <cell r="G304">
            <v>448</v>
          </cell>
        </row>
        <row r="305">
          <cell r="A305" t="str">
            <v>Residential_Building Shell_Rim/Band Joist Insulation (Fossil Fuel Heat)_CDD_4 (Belleville)</v>
          </cell>
          <cell r="G305">
            <v>532</v>
          </cell>
        </row>
        <row r="306">
          <cell r="A306" t="str">
            <v>Residential_Building Shell_Rim/Band Joist Insulation (Fossil Fuel Heat)_CDD_5 (Marion)</v>
          </cell>
          <cell r="G306">
            <v>516</v>
          </cell>
        </row>
        <row r="307">
          <cell r="A307" t="str">
            <v>Residential_Building Shell_Rim/Band Joist Insulation (Fossil Fuel Heat)_HDD_1 (Rockford)</v>
          </cell>
          <cell r="G307">
            <v>3233</v>
          </cell>
        </row>
        <row r="308">
          <cell r="A308" t="str">
            <v>Residential_Building Shell_Rim/Band Joist Insulation (Fossil Fuel Heat)_HDD_2 (Chicago)</v>
          </cell>
          <cell r="G308">
            <v>2845</v>
          </cell>
        </row>
        <row r="309">
          <cell r="A309" t="str">
            <v>Residential_Building Shell_Rim/Band Joist Insulation (Fossil Fuel Heat)_HDD_3 (Springfield)</v>
          </cell>
          <cell r="G309">
            <v>2456</v>
          </cell>
        </row>
        <row r="310">
          <cell r="A310" t="str">
            <v>Residential_Building Shell_Rim/Band Joist Insulation (Fossil Fuel Heat)_HDD_4 (Belleville)</v>
          </cell>
          <cell r="G310">
            <v>1651</v>
          </cell>
        </row>
        <row r="311">
          <cell r="A311" t="str">
            <v>Residential_Building Shell_Rim/Band Joist Insulation (Fossil Fuel Heat)_HDD_5 (Marion)</v>
          </cell>
          <cell r="G311">
            <v>1750</v>
          </cell>
        </row>
        <row r="312">
          <cell r="A312" t="str">
            <v>Residential_Building Shell_Rim/Band Joist Insulation (Fossil Fuel Heat)_FLH_cooling_1 (Rockford)</v>
          </cell>
          <cell r="G312">
            <v>547</v>
          </cell>
        </row>
        <row r="313">
          <cell r="A313" t="str">
            <v>Residential_Building Shell_Rim/Band Joist Insulation (Fossil Fuel Heat)_FLH_cooling_2 (Chicago)</v>
          </cell>
          <cell r="G313">
            <v>709</v>
          </cell>
        </row>
        <row r="314">
          <cell r="A314" t="str">
            <v>Residential_Building Shell_Rim/Band Joist Insulation (Fossil Fuel Heat)_FLH_cooling_3 (Springfield)</v>
          </cell>
          <cell r="G314">
            <v>779</v>
          </cell>
        </row>
        <row r="315">
          <cell r="A315" t="str">
            <v>Residential_Building Shell_Rim/Band Joist Insulation (Fossil Fuel Heat)_FLH_cooling_4 (Belleville)</v>
          </cell>
          <cell r="G315">
            <v>1082</v>
          </cell>
        </row>
        <row r="316">
          <cell r="A316" t="str">
            <v>Residential_Building Shell_Rim/Band Joist Insulation (Fossil Fuel Heat)_FLH_cooling_5 (Marion)</v>
          </cell>
          <cell r="G316">
            <v>956</v>
          </cell>
        </row>
        <row r="317">
          <cell r="A317" t="str">
            <v>Residential_Building Shell_Rim/Band Joist Insulation (Electric Heat)_CDD_1 (Rockford)</v>
          </cell>
          <cell r="G317">
            <v>326</v>
          </cell>
        </row>
        <row r="318">
          <cell r="A318" t="str">
            <v>Residential_Building Shell_Rim/Band Joist Insulation (Electric Heat)_CDD_2 (Chicago)</v>
          </cell>
          <cell r="G318">
            <v>354</v>
          </cell>
        </row>
        <row r="319">
          <cell r="A319" t="str">
            <v>Residential_Building Shell_Rim/Band Joist Insulation (Electric Heat)_CDD_3 (Springfield)</v>
          </cell>
          <cell r="G319">
            <v>448</v>
          </cell>
        </row>
        <row r="320">
          <cell r="A320" t="str">
            <v>Residential_Building Shell_Rim/Band Joist Insulation (Electric Heat)_CDD_4 (Belleville)</v>
          </cell>
          <cell r="G320">
            <v>532</v>
          </cell>
        </row>
        <row r="321">
          <cell r="A321" t="str">
            <v>Residential_Building Shell_Rim/Band Joist Insulation (Electric Heat)_CDD_5 (Marion)</v>
          </cell>
          <cell r="G321">
            <v>516</v>
          </cell>
        </row>
        <row r="322">
          <cell r="A322" t="str">
            <v>Residential_Building Shell_Rim/Band Joist Insulation (Electric Heat)_HDD_1 (Rockford)</v>
          </cell>
          <cell r="G322">
            <v>3233</v>
          </cell>
        </row>
        <row r="323">
          <cell r="A323" t="str">
            <v>Residential_Building Shell_Rim/Band Joist Insulation (Electric Heat)_HDD_2 (Chicago)</v>
          </cell>
          <cell r="G323">
            <v>2845</v>
          </cell>
        </row>
        <row r="324">
          <cell r="A324" t="str">
            <v>Residential_Building Shell_Rim/Band Joist Insulation (Electric Heat)_HDD_3 (Springfield)</v>
          </cell>
          <cell r="G324">
            <v>2456</v>
          </cell>
        </row>
        <row r="325">
          <cell r="A325" t="str">
            <v>Residential_Building Shell_Rim/Band Joist Insulation (Electric Heat)_HDD_4 (Belleville)</v>
          </cell>
          <cell r="G325">
            <v>1651</v>
          </cell>
        </row>
        <row r="326">
          <cell r="A326" t="str">
            <v>Residential_Building Shell_Rim/Band Joist Insulation (Electric Heat)_HDD_5 (Marion)</v>
          </cell>
          <cell r="G326">
            <v>1750</v>
          </cell>
        </row>
        <row r="327">
          <cell r="A327" t="str">
            <v>Residential_Building Shell_Rim/Band Joist Insulation (Electric Heat)_FLH_cooling_1 (Rockford)</v>
          </cell>
          <cell r="G327">
            <v>547</v>
          </cell>
        </row>
        <row r="328">
          <cell r="A328" t="str">
            <v>Residential_Building Shell_Rim/Band Joist Insulation (Electric Heat)_FLH_cooling_2 (Chicago)</v>
          </cell>
          <cell r="G328">
            <v>709</v>
          </cell>
        </row>
        <row r="329">
          <cell r="A329" t="str">
            <v>Residential_Building Shell_Rim/Band Joist Insulation (Electric Heat)_FLH_cooling_3 (Springfield)</v>
          </cell>
          <cell r="G329">
            <v>779</v>
          </cell>
        </row>
        <row r="330">
          <cell r="A330" t="str">
            <v>Residential_Building Shell_Rim/Band Joist Insulation (Electric Heat)_FLH_cooling_4 (Belleville)</v>
          </cell>
          <cell r="G330">
            <v>1082</v>
          </cell>
        </row>
        <row r="331">
          <cell r="A331" t="str">
            <v>Residential_Building Shell_Rim/Band Joist Insulation (Electric Heat)_FLH_cooling_5 (Marion)</v>
          </cell>
          <cell r="G331">
            <v>956</v>
          </cell>
        </row>
        <row r="332">
          <cell r="A332" t="str">
            <v>Residential_Building Shell_Basement Sidewall Insulation (Fossil Fuel Heat)_CDD_1 (Rockford)</v>
          </cell>
          <cell r="G332">
            <v>326</v>
          </cell>
        </row>
        <row r="333">
          <cell r="A333" t="str">
            <v>Residential_Building Shell_Basement Sidewall Insulation (Fossil Fuel Heat)_CDD_2 (Chicago)</v>
          </cell>
          <cell r="G333">
            <v>354</v>
          </cell>
        </row>
        <row r="334">
          <cell r="A334" t="str">
            <v>Residential_Building Shell_Basement Sidewall Insulation (Fossil Fuel Heat)_CDD_3 (Springfield)</v>
          </cell>
          <cell r="G334">
            <v>448</v>
          </cell>
        </row>
        <row r="335">
          <cell r="A335" t="str">
            <v>Residential_Building Shell_Basement Sidewall Insulation (Fossil Fuel Heat)_CDD_4 (Belleville)</v>
          </cell>
          <cell r="G335">
            <v>532</v>
          </cell>
        </row>
        <row r="336">
          <cell r="A336" t="str">
            <v>Residential_Building Shell_Basement Sidewall Insulation (Fossil Fuel Heat)_CDD_5 (Marion)</v>
          </cell>
          <cell r="G336">
            <v>516</v>
          </cell>
        </row>
        <row r="337">
          <cell r="A337" t="str">
            <v>Residential_Building Shell_Basement Sidewall Insulation (Fossil Fuel Heat)_HDD_1 (Rockford)</v>
          </cell>
          <cell r="G337">
            <v>3233</v>
          </cell>
        </row>
        <row r="338">
          <cell r="A338" t="str">
            <v>Residential_Building Shell_Basement Sidewall Insulation (Fossil Fuel Heat)_HDD_2 (Chicago)</v>
          </cell>
          <cell r="G338">
            <v>2845</v>
          </cell>
        </row>
        <row r="339">
          <cell r="A339" t="str">
            <v>Residential_Building Shell_Basement Sidewall Insulation (Fossil Fuel Heat)_HDD_3 (Springfield)</v>
          </cell>
          <cell r="G339">
            <v>2456</v>
          </cell>
        </row>
        <row r="340">
          <cell r="A340" t="str">
            <v>Residential_Building Shell_Basement Sidewall Insulation (Fossil Fuel Heat)_HDD_4 (Belleville)</v>
          </cell>
          <cell r="G340">
            <v>1651</v>
          </cell>
        </row>
        <row r="341">
          <cell r="A341" t="str">
            <v>Residential_Building Shell_Basement Sidewall Insulation (Fossil Fuel Heat)_HDD_5 (Marion)</v>
          </cell>
          <cell r="G341">
            <v>1750</v>
          </cell>
        </row>
        <row r="342">
          <cell r="A342" t="str">
            <v>Residential_Building Shell_Basement Sidewall Insulation (Fossil Fuel Heat)_FLH_cooling_1 (Rockford)</v>
          </cell>
          <cell r="G342">
            <v>547</v>
          </cell>
        </row>
        <row r="343">
          <cell r="A343" t="str">
            <v>Residential_Building Shell_Basement Sidewall Insulation (Fossil Fuel Heat)_FLH_cooling_2 (Chicago)</v>
          </cell>
          <cell r="G343">
            <v>709</v>
          </cell>
        </row>
        <row r="344">
          <cell r="A344" t="str">
            <v>Residential_Building Shell_Basement Sidewall Insulation (Fossil Fuel Heat)_FLH_cooling_3 (Springfield)</v>
          </cell>
          <cell r="G344">
            <v>779</v>
          </cell>
        </row>
        <row r="345">
          <cell r="A345" t="str">
            <v>Residential_Building Shell_Basement Sidewall Insulation (Fossil Fuel Heat)_FLH_cooling_4 (Belleville)</v>
          </cell>
          <cell r="G345">
            <v>1082</v>
          </cell>
        </row>
        <row r="346">
          <cell r="A346" t="str">
            <v>Residential_Building Shell_Basement Sidewall Insulation (Fossil Fuel Heat)_FLH_cooling_5 (Marion)</v>
          </cell>
          <cell r="G346">
            <v>956</v>
          </cell>
        </row>
        <row r="347">
          <cell r="A347" t="str">
            <v>Residential_Building Shell_Basement Sidewall Insulation (Electric Heat)_CDD_1 (Rockford)</v>
          </cell>
          <cell r="G347">
            <v>326</v>
          </cell>
        </row>
        <row r="348">
          <cell r="A348" t="str">
            <v>Residential_Building Shell_Basement Sidewall Insulation (Electric Heat)_CDD_2 (Chicago)</v>
          </cell>
          <cell r="G348">
            <v>354</v>
          </cell>
        </row>
        <row r="349">
          <cell r="A349" t="str">
            <v>Residential_Building Shell_Basement Sidewall Insulation (Electric Heat)_CDD_3 (Springfield)</v>
          </cell>
          <cell r="G349">
            <v>448</v>
          </cell>
        </row>
        <row r="350">
          <cell r="A350" t="str">
            <v>Residential_Building Shell_Basement Sidewall Insulation (Electric Heat)_CDD_4 (Belleville)</v>
          </cell>
          <cell r="G350">
            <v>532</v>
          </cell>
        </row>
        <row r="351">
          <cell r="A351" t="str">
            <v>Residential_Building Shell_Basement Sidewall Insulation (Electric Heat)_CDD_5 (Marion)</v>
          </cell>
          <cell r="G351">
            <v>516</v>
          </cell>
        </row>
        <row r="352">
          <cell r="A352" t="str">
            <v>Residential_Building Shell_Basement Sidewall Insulation (Electric Heat)_HDD_1 (Rockford)</v>
          </cell>
          <cell r="G352">
            <v>3233</v>
          </cell>
        </row>
        <row r="353">
          <cell r="A353" t="str">
            <v>Residential_Building Shell_Basement Sidewall Insulation (Electric Heat)_HDD_2 (Chicago)</v>
          </cell>
          <cell r="G353">
            <v>2845</v>
          </cell>
        </row>
        <row r="354">
          <cell r="A354" t="str">
            <v>Residential_Building Shell_Basement Sidewall Insulation (Electric Heat)_HDD_3 (Springfield)</v>
          </cell>
          <cell r="G354">
            <v>2456</v>
          </cell>
        </row>
        <row r="355">
          <cell r="A355" t="str">
            <v>Residential_Building Shell_Basement Sidewall Insulation (Electric Heat)_HDD_4 (Belleville)</v>
          </cell>
          <cell r="G355">
            <v>1651</v>
          </cell>
        </row>
        <row r="356">
          <cell r="A356" t="str">
            <v>Residential_Building Shell_Basement Sidewall Insulation (Electric Heat)_HDD_5 (Marion)</v>
          </cell>
          <cell r="G356">
            <v>1750</v>
          </cell>
        </row>
        <row r="357">
          <cell r="A357" t="str">
            <v>Residential_Building Shell_Basement Sidewall Insulation (Electric Heat)_FLH_cooling_1 (Rockford)</v>
          </cell>
          <cell r="G357">
            <v>547</v>
          </cell>
        </row>
        <row r="358">
          <cell r="A358" t="str">
            <v>Residential_Building Shell_Basement Sidewall Insulation (Electric Heat)_FLH_cooling_2 (Chicago)</v>
          </cell>
          <cell r="G358">
            <v>709</v>
          </cell>
        </row>
        <row r="359">
          <cell r="A359" t="str">
            <v>Residential_Building Shell_Basement Sidewall Insulation (Electric Heat)_FLH_cooling_3 (Springfield)</v>
          </cell>
          <cell r="G359">
            <v>779</v>
          </cell>
        </row>
        <row r="360">
          <cell r="A360" t="str">
            <v>Residential_Building Shell_Basement Sidewall Insulation (Electric Heat)_FLH_cooling_4 (Belleville)</v>
          </cell>
          <cell r="G360">
            <v>1082</v>
          </cell>
        </row>
        <row r="361">
          <cell r="A361" t="str">
            <v>Residential_Building Shell_Basement Sidewall Insulation (Electric Heat)_FLH_cooling_5 (Marion)</v>
          </cell>
          <cell r="G361">
            <v>956</v>
          </cell>
        </row>
        <row r="362">
          <cell r="A362" t="str">
            <v>Residential_HVAC_Ground Source Heat Pump_FLH_GSHPheat_1 (Rockford)</v>
          </cell>
          <cell r="G362">
            <v>1924</v>
          </cell>
        </row>
        <row r="363">
          <cell r="A363" t="str">
            <v>Residential_HVAC_Ground Source Heat Pump_FLH_GSHPheat_2 (Chicago)</v>
          </cell>
          <cell r="G363">
            <v>1726</v>
          </cell>
        </row>
        <row r="364">
          <cell r="A364" t="str">
            <v>Residential_HVAC_Ground Source Heat Pump_FLH_GSHPheat_3 (Springfield)</v>
          </cell>
          <cell r="G364">
            <v>1708</v>
          </cell>
        </row>
        <row r="365">
          <cell r="A365" t="str">
            <v>Residential_HVAC_Ground Source Heat Pump_FLH_GSHPheat_4 (Belleville)</v>
          </cell>
          <cell r="G365">
            <v>1195</v>
          </cell>
        </row>
        <row r="366">
          <cell r="A366" t="str">
            <v>Residential_HVAC_Ground Source Heat Pump_FLH_GSHPheat_5 (Marion)</v>
          </cell>
          <cell r="G366">
            <v>1270</v>
          </cell>
        </row>
        <row r="367">
          <cell r="A367" t="str">
            <v>Residential_HVAC_Ground Source Heat Pump_FLH_GSHPheat_Weighted Average</v>
          </cell>
          <cell r="G367">
            <v>1547</v>
          </cell>
        </row>
        <row r="368">
          <cell r="A368" t="str">
            <v>Residential_HVAC_Ground Source Heat Pump_FLHcool_1 (Rockford)</v>
          </cell>
          <cell r="G368">
            <v>547</v>
          </cell>
        </row>
        <row r="369">
          <cell r="A369" t="str">
            <v>Residential_HVAC_Ground Source Heat Pump_FLHcool_2 (Chicago)</v>
          </cell>
          <cell r="G369">
            <v>709</v>
          </cell>
        </row>
        <row r="370">
          <cell r="A370" t="str">
            <v>Residential_HVAC_Ground Source Heat Pump_FLHcool_3 (Springfield)</v>
          </cell>
          <cell r="G370">
            <v>779</v>
          </cell>
        </row>
        <row r="371">
          <cell r="A371" t="str">
            <v>Residential_HVAC_Ground Source Heat Pump_FLHcool_4 (Belleville)</v>
          </cell>
          <cell r="G371">
            <v>1082</v>
          </cell>
        </row>
        <row r="372">
          <cell r="A372" t="str">
            <v>Residential_HVAC_Ground Source Heat Pump_FLHcool_5 (Marion)</v>
          </cell>
          <cell r="G372">
            <v>956</v>
          </cell>
        </row>
        <row r="373">
          <cell r="A373" t="str">
            <v>Residential_HVAC_Ground Source Heat Pump_FLHcool_Weighted Average</v>
          </cell>
          <cell r="G373">
            <v>875</v>
          </cell>
        </row>
        <row r="374">
          <cell r="A374" t="str">
            <v>Residential_HVAC_Air-Source Heat Pump_PD_Adj_1 (Rockford)</v>
          </cell>
          <cell r="G374">
            <v>1.37</v>
          </cell>
        </row>
        <row r="375">
          <cell r="A375" t="str">
            <v>Residential_HVAC_Air-Source Heat Pump_PD_Adj_2 (Chicago)</v>
          </cell>
          <cell r="G375">
            <v>1.37</v>
          </cell>
        </row>
        <row r="376">
          <cell r="A376" t="str">
            <v>Residential_HVAC_Air-Source Heat Pump_PD_Adj_3 (Springfield)</v>
          </cell>
          <cell r="G376">
            <v>1.36</v>
          </cell>
        </row>
        <row r="377">
          <cell r="A377" t="str">
            <v>Residential_HVAC_Air-Source Heat Pump_PD_Adj_4 (Belleville)</v>
          </cell>
          <cell r="G377">
            <v>1.38</v>
          </cell>
        </row>
        <row r="378">
          <cell r="A378" t="str">
            <v>Residential_HVAC_Air-Source Heat Pump_PD_Adj_5 (Marion)</v>
          </cell>
          <cell r="G378">
            <v>1.38</v>
          </cell>
        </row>
        <row r="379">
          <cell r="A379" t="str">
            <v>Residential_HVAC_Air-Source Heat Pump_PD_Adj_Weighted Average</v>
          </cell>
          <cell r="G379">
            <v>1.37</v>
          </cell>
        </row>
        <row r="380">
          <cell r="A380" t="str">
            <v>Residential_HVAC_Ductless Heat Pump_PD_Adj_1 (Rockford)</v>
          </cell>
          <cell r="G380">
            <v>1.37</v>
          </cell>
        </row>
        <row r="381">
          <cell r="A381" t="str">
            <v>Residential_HVAC_Ductless Heat Pump_PD_Adj_2 (Chicago)</v>
          </cell>
          <cell r="G381">
            <v>1.37</v>
          </cell>
        </row>
        <row r="382">
          <cell r="A382" t="str">
            <v>Residential_HVAC_Ductless Heat Pump_PD_Adj_3 (Springfield)</v>
          </cell>
          <cell r="G382">
            <v>1.36</v>
          </cell>
        </row>
        <row r="383">
          <cell r="A383" t="str">
            <v>Residential_HVAC_Ductless Heat Pump_PD_Adj_4 (Belleville)</v>
          </cell>
          <cell r="G383">
            <v>1.38</v>
          </cell>
        </row>
        <row r="384">
          <cell r="A384" t="str">
            <v>Residential_HVAC_Ductless Heat Pump_PD_Adj_5 (Marion)</v>
          </cell>
          <cell r="G384">
            <v>1.38</v>
          </cell>
        </row>
        <row r="385">
          <cell r="A385" t="str">
            <v>Residential_HVAC_Ductless Heat Pump_PD_Adj_Weighted Average</v>
          </cell>
          <cell r="G385">
            <v>1.37</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ults"/>
      <sheetName val="Weighting Factors"/>
      <sheetName val="Results Bkgnd"/>
      <sheetName val="Lookups"/>
      <sheetName val="DmdModTable"/>
      <sheetName val="GasPAC"/>
      <sheetName val="HP"/>
      <sheetName val="PVAV"/>
      <sheetName val="SVAV"/>
      <sheetName val="WLHP"/>
      <sheetName val="ElecHeat"/>
      <sheetName val="GasFurn"/>
      <sheetName val="PSZElec"/>
      <sheetName val="PVAVElec"/>
      <sheetName val="SVAVElec"/>
      <sheetName val="Default WFs"/>
      <sheetName val="Drop Downs"/>
      <sheetName val="Drop down"/>
      <sheetName val="Unit definitions"/>
      <sheetName val="Support Tables"/>
    </sheetNames>
    <sheetDataSet>
      <sheetData sheetId="0" refreshError="1"/>
      <sheetData sheetId="1" refreshError="1">
        <row r="22">
          <cell r="B22" t="str">
            <v>Whole Utility</v>
          </cell>
          <cell r="C22" t="str">
            <v>(kWh/kWh)</v>
          </cell>
          <cell r="D22">
            <v>1.1063069862224075</v>
          </cell>
          <cell r="E22">
            <v>1.0238382881663963</v>
          </cell>
          <cell r="F22">
            <v>0</v>
          </cell>
          <cell r="G22">
            <v>0</v>
          </cell>
          <cell r="H22">
            <v>0</v>
          </cell>
          <cell r="I22">
            <v>0.83782582606498435</v>
          </cell>
          <cell r="J22">
            <v>0</v>
          </cell>
          <cell r="K22">
            <v>0</v>
          </cell>
          <cell r="L22">
            <v>0.7208998824747842</v>
          </cell>
          <cell r="M22">
            <v>1.0141451095417204</v>
          </cell>
        </row>
        <row r="23">
          <cell r="C23" t="str">
            <v>(kW/kW)</v>
          </cell>
          <cell r="D23">
            <v>1.2621800894777682</v>
          </cell>
          <cell r="E23">
            <v>1.2562612812480229</v>
          </cell>
          <cell r="F23">
            <v>0</v>
          </cell>
          <cell r="G23">
            <v>0</v>
          </cell>
          <cell r="H23">
            <v>0</v>
          </cell>
          <cell r="I23">
            <v>1.269881032367677</v>
          </cell>
          <cell r="J23">
            <v>0</v>
          </cell>
          <cell r="K23">
            <v>0</v>
          </cell>
          <cell r="L23">
            <v>1</v>
          </cell>
          <cell r="M23">
            <v>1.019788886792536</v>
          </cell>
        </row>
        <row r="24">
          <cell r="C24" t="str">
            <v>(therms/kWh)</v>
          </cell>
          <cell r="D24">
            <v>-1.3203258357579916E-2</v>
          </cell>
          <cell r="E24">
            <v>0</v>
          </cell>
          <cell r="F24">
            <v>0</v>
          </cell>
          <cell r="G24">
            <v>0</v>
          </cell>
          <cell r="H24">
            <v>0</v>
          </cell>
          <cell r="I24">
            <v>0</v>
          </cell>
          <cell r="J24">
            <v>0</v>
          </cell>
          <cell r="K24">
            <v>0</v>
          </cell>
          <cell r="L24">
            <v>0</v>
          </cell>
          <cell r="M24">
            <v>-1.3740101897599281E-2</v>
          </cell>
        </row>
        <row r="25">
          <cell r="B25" t="str">
            <v xml:space="preserve">Arcata Area (CZ01) </v>
          </cell>
          <cell r="C25" t="str">
            <v>(kWh/kWh)</v>
          </cell>
          <cell r="D25">
            <v>1.0565356965230366</v>
          </cell>
          <cell r="E25">
            <v>0.91532305466383324</v>
          </cell>
          <cell r="F25">
            <v>0</v>
          </cell>
          <cell r="G25">
            <v>0</v>
          </cell>
          <cell r="H25">
            <v>0</v>
          </cell>
          <cell r="I25">
            <v>0.6152534249672198</v>
          </cell>
          <cell r="J25">
            <v>0</v>
          </cell>
          <cell r="K25">
            <v>0</v>
          </cell>
          <cell r="L25">
            <v>0.50152281050775427</v>
          </cell>
          <cell r="M25">
            <v>1.0103540263145996</v>
          </cell>
        </row>
        <row r="26">
          <cell r="C26" t="str">
            <v>(kW/kW)</v>
          </cell>
          <cell r="D26">
            <v>1.176275706237691</v>
          </cell>
          <cell r="E26">
            <v>1.105313513045868</v>
          </cell>
          <cell r="F26">
            <v>0</v>
          </cell>
          <cell r="G26">
            <v>0</v>
          </cell>
          <cell r="H26">
            <v>0</v>
          </cell>
          <cell r="I26">
            <v>1.0682039094346538</v>
          </cell>
          <cell r="J26">
            <v>0</v>
          </cell>
          <cell r="K26">
            <v>0</v>
          </cell>
          <cell r="L26">
            <v>1</v>
          </cell>
          <cell r="M26">
            <v>1.0113995491071202</v>
          </cell>
        </row>
        <row r="27">
          <cell r="C27" t="str">
            <v>(therms/kWh)</v>
          </cell>
          <cell r="D27">
            <v>-2.1300357191300811E-2</v>
          </cell>
          <cell r="E27">
            <v>0</v>
          </cell>
          <cell r="F27">
            <v>0</v>
          </cell>
          <cell r="G27">
            <v>0</v>
          </cell>
          <cell r="H27">
            <v>0</v>
          </cell>
          <cell r="I27">
            <v>0</v>
          </cell>
          <cell r="J27">
            <v>0</v>
          </cell>
          <cell r="K27">
            <v>0</v>
          </cell>
          <cell r="L27">
            <v>0</v>
          </cell>
          <cell r="M27">
            <v>-2.2092508025500744E-2</v>
          </cell>
        </row>
        <row r="28">
          <cell r="B28" t="str">
            <v xml:space="preserve">Santa Rosa Area (CZ02) </v>
          </cell>
          <cell r="C28" t="str">
            <v>(kWh/kWh)</v>
          </cell>
          <cell r="D28">
            <v>1.085942939820048</v>
          </cell>
          <cell r="E28">
            <v>0.99790206628385403</v>
          </cell>
          <cell r="F28">
            <v>0</v>
          </cell>
          <cell r="G28">
            <v>0</v>
          </cell>
          <cell r="H28">
            <v>0</v>
          </cell>
          <cell r="I28">
            <v>0.78131663426323639</v>
          </cell>
          <cell r="J28">
            <v>0</v>
          </cell>
          <cell r="K28">
            <v>0</v>
          </cell>
          <cell r="L28">
            <v>0.69560338201383554</v>
          </cell>
          <cell r="M28">
            <v>1.0122891893113894</v>
          </cell>
        </row>
        <row r="29">
          <cell r="C29" t="str">
            <v>(kW/kW)</v>
          </cell>
          <cell r="D29">
            <v>1.2562099552669479</v>
          </cell>
          <cell r="E29">
            <v>1.2551717820446926</v>
          </cell>
          <cell r="F29">
            <v>0</v>
          </cell>
          <cell r="G29">
            <v>0</v>
          </cell>
          <cell r="H29">
            <v>0</v>
          </cell>
          <cell r="I29">
            <v>1.2599656995709902</v>
          </cell>
          <cell r="J29">
            <v>0</v>
          </cell>
          <cell r="K29">
            <v>0</v>
          </cell>
          <cell r="L29">
            <v>1</v>
          </cell>
          <cell r="M29">
            <v>1.0174097578104724</v>
          </cell>
        </row>
        <row r="30">
          <cell r="C30" t="str">
            <v>(therms/kWh)</v>
          </cell>
          <cell r="D30">
            <v>-1.3686304652529728E-2</v>
          </cell>
          <cell r="E30">
            <v>0</v>
          </cell>
          <cell r="F30">
            <v>0</v>
          </cell>
          <cell r="G30">
            <v>0</v>
          </cell>
          <cell r="H30">
            <v>0</v>
          </cell>
          <cell r="I30">
            <v>0</v>
          </cell>
          <cell r="J30">
            <v>0</v>
          </cell>
          <cell r="K30">
            <v>0</v>
          </cell>
          <cell r="L30">
            <v>0</v>
          </cell>
          <cell r="M30">
            <v>-1.4665641813989239E-2</v>
          </cell>
        </row>
        <row r="31">
          <cell r="B31" t="str">
            <v xml:space="preserve">Oakland Area (CZ03) </v>
          </cell>
          <cell r="C31" t="str">
            <v>(kWh/kWh)</v>
          </cell>
          <cell r="D31">
            <v>1.0895962381878193</v>
          </cell>
          <cell r="E31">
            <v>0.99790206628385403</v>
          </cell>
          <cell r="F31">
            <v>0</v>
          </cell>
          <cell r="G31">
            <v>0</v>
          </cell>
          <cell r="H31">
            <v>0</v>
          </cell>
          <cell r="I31">
            <v>0.79992856173983817</v>
          </cell>
          <cell r="J31">
            <v>0</v>
          </cell>
          <cell r="K31">
            <v>0</v>
          </cell>
          <cell r="L31">
            <v>0.71335172039607542</v>
          </cell>
          <cell r="M31">
            <v>1.010616268029118</v>
          </cell>
        </row>
        <row r="32">
          <cell r="C32" t="str">
            <v>(kW/kW)</v>
          </cell>
          <cell r="D32">
            <v>1.2432633244952902</v>
          </cell>
          <cell r="E32">
            <v>1.2870447177848234</v>
          </cell>
          <cell r="F32">
            <v>0</v>
          </cell>
          <cell r="G32">
            <v>0</v>
          </cell>
          <cell r="H32">
            <v>0</v>
          </cell>
          <cell r="I32">
            <v>1.2500216286087971</v>
          </cell>
          <cell r="J32">
            <v>0</v>
          </cell>
          <cell r="K32">
            <v>0</v>
          </cell>
          <cell r="L32">
            <v>1</v>
          </cell>
          <cell r="M32">
            <v>1.0116947160036438</v>
          </cell>
        </row>
        <row r="33">
          <cell r="C33" t="str">
            <v>(therms/kWh)</v>
          </cell>
          <cell r="D33">
            <v>-1.4344621784147939E-2</v>
          </cell>
          <cell r="E33">
            <v>0</v>
          </cell>
          <cell r="F33">
            <v>0</v>
          </cell>
          <cell r="G33">
            <v>0</v>
          </cell>
          <cell r="H33">
            <v>0</v>
          </cell>
          <cell r="I33">
            <v>0</v>
          </cell>
          <cell r="J33">
            <v>0</v>
          </cell>
          <cell r="K33">
            <v>0</v>
          </cell>
          <cell r="L33">
            <v>0</v>
          </cell>
          <cell r="M33">
            <v>-1.4917936428991274E-2</v>
          </cell>
        </row>
        <row r="34">
          <cell r="B34" t="str">
            <v xml:space="preserve">Sunnyvale Area (CZ04) </v>
          </cell>
          <cell r="C34" t="str">
            <v>(kWh/kWh)</v>
          </cell>
          <cell r="D34">
            <v>1.1082877424605506</v>
          </cell>
          <cell r="E34">
            <v>1.0464981688294073</v>
          </cell>
          <cell r="F34">
            <v>0</v>
          </cell>
          <cell r="G34">
            <v>0</v>
          </cell>
          <cell r="H34">
            <v>0</v>
          </cell>
          <cell r="I34">
            <v>0.86272098385857032</v>
          </cell>
          <cell r="J34">
            <v>0</v>
          </cell>
          <cell r="K34">
            <v>0</v>
          </cell>
          <cell r="L34">
            <v>0.75522810507754212</v>
          </cell>
          <cell r="M34">
            <v>1.0118370484242889</v>
          </cell>
        </row>
        <row r="35">
          <cell r="C35" t="str">
            <v>(kW/kW)</v>
          </cell>
          <cell r="D35">
            <v>1.2742863831368099</v>
          </cell>
          <cell r="E35">
            <v>1.2803525717688131</v>
          </cell>
          <cell r="F35">
            <v>0</v>
          </cell>
          <cell r="G35">
            <v>0</v>
          </cell>
          <cell r="H35">
            <v>0</v>
          </cell>
          <cell r="I35">
            <v>1.2797978615667256</v>
          </cell>
          <cell r="J35">
            <v>0</v>
          </cell>
          <cell r="K35">
            <v>0</v>
          </cell>
          <cell r="L35">
            <v>1</v>
          </cell>
          <cell r="M35">
            <v>1.0172112835179823</v>
          </cell>
        </row>
        <row r="36">
          <cell r="C36" t="str">
            <v>(therms/kWh)</v>
          </cell>
          <cell r="D36">
            <v>-1.2383234615906317E-2</v>
          </cell>
          <cell r="E36">
            <v>0</v>
          </cell>
          <cell r="F36">
            <v>0</v>
          </cell>
          <cell r="G36">
            <v>0</v>
          </cell>
          <cell r="H36">
            <v>0</v>
          </cell>
          <cell r="I36">
            <v>0</v>
          </cell>
          <cell r="J36">
            <v>0</v>
          </cell>
          <cell r="K36">
            <v>0</v>
          </cell>
          <cell r="L36">
            <v>0</v>
          </cell>
          <cell r="M36">
            <v>-1.3210652439300087E-2</v>
          </cell>
        </row>
        <row r="37">
          <cell r="B37" t="str">
            <v xml:space="preserve">Santa Maria Area (CZ05) </v>
          </cell>
          <cell r="C37" t="str">
            <v>(kWh/kWh)</v>
          </cell>
          <cell r="D37">
            <v>1.1076637880363522</v>
          </cell>
          <cell r="E37">
            <v>1.0230863136953474</v>
          </cell>
          <cell r="F37">
            <v>0</v>
          </cell>
          <cell r="G37">
            <v>0</v>
          </cell>
          <cell r="H37">
            <v>0</v>
          </cell>
          <cell r="I37">
            <v>0.89482841253334544</v>
          </cell>
          <cell r="J37">
            <v>0</v>
          </cell>
          <cell r="K37">
            <v>0</v>
          </cell>
          <cell r="L37">
            <v>0.76279423068228069</v>
          </cell>
          <cell r="M37">
            <v>1.010833295654926</v>
          </cell>
        </row>
        <row r="38">
          <cell r="C38" t="str">
            <v>(kW/kW)</v>
          </cell>
          <cell r="D38">
            <v>1.2217873882309833</v>
          </cell>
          <cell r="E38">
            <v>1.22062707698258</v>
          </cell>
          <cell r="F38">
            <v>0</v>
          </cell>
          <cell r="G38">
            <v>0</v>
          </cell>
          <cell r="H38">
            <v>0</v>
          </cell>
          <cell r="I38">
            <v>1.2238077547468436</v>
          </cell>
          <cell r="J38">
            <v>0</v>
          </cell>
          <cell r="K38">
            <v>0</v>
          </cell>
          <cell r="L38">
            <v>1</v>
          </cell>
          <cell r="M38">
            <v>1.0119339029715164</v>
          </cell>
        </row>
        <row r="39">
          <cell r="C39" t="str">
            <v>(therms/kWh)</v>
          </cell>
          <cell r="D39">
            <v>-1.1213998281864628E-2</v>
          </cell>
          <cell r="E39">
            <v>0</v>
          </cell>
          <cell r="F39">
            <v>0</v>
          </cell>
          <cell r="G39">
            <v>0</v>
          </cell>
          <cell r="H39">
            <v>0</v>
          </cell>
          <cell r="I39">
            <v>0</v>
          </cell>
          <cell r="J39">
            <v>0</v>
          </cell>
          <cell r="K39">
            <v>0</v>
          </cell>
          <cell r="L39">
            <v>0</v>
          </cell>
          <cell r="M39">
            <v>-1.2030564723967989E-2</v>
          </cell>
        </row>
        <row r="40">
          <cell r="B40" t="str">
            <v xml:space="preserve">Los Angeles Area (CZ06) </v>
          </cell>
          <cell r="C40" t="str">
            <v>(kWh/kWh)</v>
          </cell>
          <cell r="D40">
            <v>0</v>
          </cell>
          <cell r="E40">
            <v>0</v>
          </cell>
          <cell r="F40">
            <v>0</v>
          </cell>
          <cell r="G40">
            <v>0</v>
          </cell>
          <cell r="H40">
            <v>0</v>
          </cell>
          <cell r="I40">
            <v>0</v>
          </cell>
          <cell r="J40">
            <v>0</v>
          </cell>
          <cell r="K40">
            <v>0</v>
          </cell>
          <cell r="L40">
            <v>0</v>
          </cell>
          <cell r="M40">
            <v>0</v>
          </cell>
        </row>
        <row r="41">
          <cell r="C41" t="str">
            <v>(kW/kW)</v>
          </cell>
          <cell r="D41">
            <v>0</v>
          </cell>
          <cell r="E41">
            <v>0</v>
          </cell>
          <cell r="F41">
            <v>0</v>
          </cell>
          <cell r="G41">
            <v>0</v>
          </cell>
          <cell r="H41">
            <v>0</v>
          </cell>
          <cell r="I41">
            <v>0</v>
          </cell>
          <cell r="J41">
            <v>0</v>
          </cell>
          <cell r="K41">
            <v>0</v>
          </cell>
          <cell r="L41">
            <v>0</v>
          </cell>
          <cell r="M41">
            <v>0</v>
          </cell>
        </row>
        <row r="42">
          <cell r="C42" t="str">
            <v>(therms/kWh)</v>
          </cell>
          <cell r="D42">
            <v>0</v>
          </cell>
          <cell r="E42">
            <v>0</v>
          </cell>
          <cell r="F42">
            <v>0</v>
          </cell>
          <cell r="G42">
            <v>0</v>
          </cell>
          <cell r="H42">
            <v>0</v>
          </cell>
          <cell r="I42">
            <v>0</v>
          </cell>
          <cell r="J42">
            <v>0</v>
          </cell>
          <cell r="K42">
            <v>0</v>
          </cell>
          <cell r="L42">
            <v>0</v>
          </cell>
          <cell r="M42">
            <v>0</v>
          </cell>
        </row>
        <row r="43">
          <cell r="B43" t="str">
            <v xml:space="preserve">San Diego Area (CZ07) </v>
          </cell>
          <cell r="C43" t="str">
            <v>(kWh/kWh)</v>
          </cell>
          <cell r="D43">
            <v>0</v>
          </cell>
          <cell r="E43">
            <v>0</v>
          </cell>
          <cell r="F43">
            <v>0</v>
          </cell>
          <cell r="G43">
            <v>0</v>
          </cell>
          <cell r="H43">
            <v>0</v>
          </cell>
          <cell r="I43">
            <v>0</v>
          </cell>
          <cell r="J43">
            <v>0</v>
          </cell>
          <cell r="K43">
            <v>0</v>
          </cell>
          <cell r="L43">
            <v>0</v>
          </cell>
          <cell r="M43">
            <v>0</v>
          </cell>
        </row>
        <row r="44">
          <cell r="C44" t="str">
            <v>(kW/kW)</v>
          </cell>
          <cell r="D44">
            <v>0</v>
          </cell>
          <cell r="E44">
            <v>0</v>
          </cell>
          <cell r="F44">
            <v>0</v>
          </cell>
          <cell r="G44">
            <v>0</v>
          </cell>
          <cell r="H44">
            <v>0</v>
          </cell>
          <cell r="I44">
            <v>0</v>
          </cell>
          <cell r="J44">
            <v>0</v>
          </cell>
          <cell r="K44">
            <v>0</v>
          </cell>
          <cell r="L44">
            <v>0</v>
          </cell>
          <cell r="M44">
            <v>0</v>
          </cell>
        </row>
        <row r="45">
          <cell r="C45" t="str">
            <v>(therms/kWh)</v>
          </cell>
          <cell r="D45">
            <v>0</v>
          </cell>
          <cell r="E45">
            <v>0</v>
          </cell>
          <cell r="F45">
            <v>0</v>
          </cell>
          <cell r="G45">
            <v>0</v>
          </cell>
          <cell r="H45">
            <v>0</v>
          </cell>
          <cell r="I45">
            <v>0</v>
          </cell>
          <cell r="J45">
            <v>0</v>
          </cell>
          <cell r="K45">
            <v>0</v>
          </cell>
          <cell r="L45">
            <v>0</v>
          </cell>
          <cell r="M45">
            <v>0</v>
          </cell>
        </row>
        <row r="46">
          <cell r="B46" t="str">
            <v xml:space="preserve">El Toro Area (CZ08) </v>
          </cell>
          <cell r="C46" t="str">
            <v>(kWh/kWh)</v>
          </cell>
          <cell r="D46">
            <v>0</v>
          </cell>
          <cell r="E46">
            <v>0</v>
          </cell>
          <cell r="F46">
            <v>0</v>
          </cell>
          <cell r="G46">
            <v>0</v>
          </cell>
          <cell r="H46">
            <v>0</v>
          </cell>
          <cell r="I46">
            <v>0</v>
          </cell>
          <cell r="J46">
            <v>0</v>
          </cell>
          <cell r="K46">
            <v>0</v>
          </cell>
          <cell r="L46">
            <v>0</v>
          </cell>
          <cell r="M46">
            <v>0</v>
          </cell>
        </row>
        <row r="47">
          <cell r="C47" t="str">
            <v>(kW/kW)</v>
          </cell>
          <cell r="D47">
            <v>0</v>
          </cell>
          <cell r="E47">
            <v>0</v>
          </cell>
          <cell r="F47">
            <v>0</v>
          </cell>
          <cell r="G47">
            <v>0</v>
          </cell>
          <cell r="H47">
            <v>0</v>
          </cell>
          <cell r="I47">
            <v>0</v>
          </cell>
          <cell r="J47">
            <v>0</v>
          </cell>
          <cell r="K47">
            <v>0</v>
          </cell>
          <cell r="L47">
            <v>0</v>
          </cell>
          <cell r="M47">
            <v>0</v>
          </cell>
        </row>
        <row r="48">
          <cell r="C48" t="str">
            <v>(therms/kWh)</v>
          </cell>
          <cell r="D48">
            <v>0</v>
          </cell>
          <cell r="E48">
            <v>0</v>
          </cell>
          <cell r="F48">
            <v>0</v>
          </cell>
          <cell r="G48">
            <v>0</v>
          </cell>
          <cell r="H48">
            <v>0</v>
          </cell>
          <cell r="I48">
            <v>0</v>
          </cell>
          <cell r="J48">
            <v>0</v>
          </cell>
          <cell r="K48">
            <v>0</v>
          </cell>
          <cell r="L48">
            <v>0</v>
          </cell>
          <cell r="M48">
            <v>0</v>
          </cell>
        </row>
        <row r="49">
          <cell r="B49" t="str">
            <v xml:space="preserve">Pasadena Area (CZ09) </v>
          </cell>
          <cell r="C49" t="str">
            <v>(kWh/kWh)</v>
          </cell>
          <cell r="D49">
            <v>0</v>
          </cell>
          <cell r="E49">
            <v>0</v>
          </cell>
          <cell r="F49">
            <v>0</v>
          </cell>
          <cell r="G49">
            <v>0</v>
          </cell>
          <cell r="H49">
            <v>0</v>
          </cell>
          <cell r="I49">
            <v>0</v>
          </cell>
          <cell r="J49">
            <v>0</v>
          </cell>
          <cell r="K49">
            <v>0</v>
          </cell>
          <cell r="L49">
            <v>0</v>
          </cell>
          <cell r="M49">
            <v>0</v>
          </cell>
        </row>
        <row r="50">
          <cell r="C50" t="str">
            <v>(kW/kW)</v>
          </cell>
          <cell r="D50">
            <v>0</v>
          </cell>
          <cell r="E50">
            <v>0</v>
          </cell>
          <cell r="F50">
            <v>0</v>
          </cell>
          <cell r="G50">
            <v>0</v>
          </cell>
          <cell r="H50">
            <v>0</v>
          </cell>
          <cell r="I50">
            <v>0</v>
          </cell>
          <cell r="J50">
            <v>0</v>
          </cell>
          <cell r="K50">
            <v>0</v>
          </cell>
          <cell r="L50">
            <v>0</v>
          </cell>
          <cell r="M50">
            <v>0</v>
          </cell>
        </row>
        <row r="51">
          <cell r="C51" t="str">
            <v>(therms/kWh)</v>
          </cell>
          <cell r="D51">
            <v>0</v>
          </cell>
          <cell r="E51">
            <v>0</v>
          </cell>
          <cell r="F51">
            <v>0</v>
          </cell>
          <cell r="G51">
            <v>0</v>
          </cell>
          <cell r="H51">
            <v>0</v>
          </cell>
          <cell r="I51">
            <v>0</v>
          </cell>
          <cell r="J51">
            <v>0</v>
          </cell>
          <cell r="K51">
            <v>0</v>
          </cell>
          <cell r="L51">
            <v>0</v>
          </cell>
          <cell r="M51">
            <v>0</v>
          </cell>
        </row>
        <row r="52">
          <cell r="B52" t="str">
            <v xml:space="preserve">San Bernardino Area (CZ10) </v>
          </cell>
          <cell r="C52" t="str">
            <v>(kWh/kWh)</v>
          </cell>
          <cell r="D52">
            <v>0</v>
          </cell>
          <cell r="E52">
            <v>0</v>
          </cell>
          <cell r="F52">
            <v>0</v>
          </cell>
          <cell r="G52">
            <v>0</v>
          </cell>
          <cell r="H52">
            <v>0</v>
          </cell>
          <cell r="I52">
            <v>0</v>
          </cell>
          <cell r="J52">
            <v>0</v>
          </cell>
          <cell r="K52">
            <v>0</v>
          </cell>
          <cell r="L52">
            <v>0</v>
          </cell>
          <cell r="M52">
            <v>0</v>
          </cell>
        </row>
        <row r="53">
          <cell r="C53" t="str">
            <v>(kW/kW)</v>
          </cell>
          <cell r="D53">
            <v>0</v>
          </cell>
          <cell r="E53">
            <v>0</v>
          </cell>
          <cell r="F53">
            <v>0</v>
          </cell>
          <cell r="G53">
            <v>0</v>
          </cell>
          <cell r="H53">
            <v>0</v>
          </cell>
          <cell r="I53">
            <v>0</v>
          </cell>
          <cell r="J53">
            <v>0</v>
          </cell>
          <cell r="K53">
            <v>0</v>
          </cell>
          <cell r="L53">
            <v>0</v>
          </cell>
          <cell r="M53">
            <v>0</v>
          </cell>
        </row>
        <row r="54">
          <cell r="C54" t="str">
            <v>(therms/kWh)</v>
          </cell>
          <cell r="D54">
            <v>0</v>
          </cell>
          <cell r="E54">
            <v>0</v>
          </cell>
          <cell r="F54">
            <v>0</v>
          </cell>
          <cell r="G54">
            <v>0</v>
          </cell>
          <cell r="H54">
            <v>0</v>
          </cell>
          <cell r="I54">
            <v>0</v>
          </cell>
          <cell r="J54">
            <v>0</v>
          </cell>
          <cell r="K54">
            <v>0</v>
          </cell>
          <cell r="L54">
            <v>0</v>
          </cell>
          <cell r="M54">
            <v>0</v>
          </cell>
        </row>
        <row r="55">
          <cell r="B55" t="str">
            <v xml:space="preserve">Red Bluff Area (CZ11) </v>
          </cell>
          <cell r="C55" t="str">
            <v>(kWh/kWh)</v>
          </cell>
          <cell r="D55">
            <v>1.1123117963557445</v>
          </cell>
          <cell r="E55">
            <v>1.0199484559388705</v>
          </cell>
          <cell r="F55">
            <v>0</v>
          </cell>
          <cell r="G55">
            <v>0</v>
          </cell>
          <cell r="H55">
            <v>0</v>
          </cell>
          <cell r="I55">
            <v>0.83338156169462407</v>
          </cell>
          <cell r="J55">
            <v>0</v>
          </cell>
          <cell r="K55">
            <v>0</v>
          </cell>
          <cell r="L55">
            <v>0.69905683410950847</v>
          </cell>
          <cell r="M55">
            <v>1.0194782294162861</v>
          </cell>
        </row>
        <row r="56">
          <cell r="C56" t="str">
            <v>(kW/kW)</v>
          </cell>
          <cell r="D56">
            <v>1.2918030117201615</v>
          </cell>
          <cell r="E56">
            <v>1.2166932147237393</v>
          </cell>
          <cell r="F56">
            <v>0</v>
          </cell>
          <cell r="G56">
            <v>0</v>
          </cell>
          <cell r="H56">
            <v>0</v>
          </cell>
          <cell r="I56">
            <v>1.2949226204713511</v>
          </cell>
          <cell r="J56">
            <v>0</v>
          </cell>
          <cell r="K56">
            <v>0</v>
          </cell>
          <cell r="L56">
            <v>1</v>
          </cell>
          <cell r="M56">
            <v>1.0240561020666772</v>
          </cell>
        </row>
        <row r="57">
          <cell r="C57" t="str">
            <v>(therms/kWh)</v>
          </cell>
          <cell r="D57">
            <v>-1.3435818601076096E-2</v>
          </cell>
          <cell r="E57">
            <v>0</v>
          </cell>
          <cell r="F57">
            <v>0</v>
          </cell>
          <cell r="G57">
            <v>0</v>
          </cell>
          <cell r="H57">
            <v>0</v>
          </cell>
          <cell r="I57">
            <v>0</v>
          </cell>
          <cell r="J57">
            <v>0</v>
          </cell>
          <cell r="K57">
            <v>0</v>
          </cell>
          <cell r="L57">
            <v>0</v>
          </cell>
          <cell r="M57">
            <v>-1.3994664737532215E-2</v>
          </cell>
        </row>
        <row r="58">
          <cell r="B58" t="str">
            <v xml:space="preserve">Sacramento Area (CZ12) </v>
          </cell>
          <cell r="C58" t="str">
            <v>(kWh/kWh)</v>
          </cell>
          <cell r="D58">
            <v>1.105394040783108</v>
          </cell>
          <cell r="E58">
            <v>1.0266130126147308</v>
          </cell>
          <cell r="F58">
            <v>0</v>
          </cell>
          <cell r="G58">
            <v>0</v>
          </cell>
          <cell r="H58">
            <v>0</v>
          </cell>
          <cell r="I58">
            <v>0.82949043722023785</v>
          </cell>
          <cell r="J58">
            <v>0</v>
          </cell>
          <cell r="K58">
            <v>0</v>
          </cell>
          <cell r="L58">
            <v>0.71220237826106614</v>
          </cell>
          <cell r="M58">
            <v>1.0128769724646201</v>
          </cell>
        </row>
        <row r="59">
          <cell r="C59" t="str">
            <v>(kW/kW)</v>
          </cell>
          <cell r="D59">
            <v>1.257863907704365</v>
          </cell>
          <cell r="E59">
            <v>1.2679148494394374</v>
          </cell>
          <cell r="F59">
            <v>0</v>
          </cell>
          <cell r="G59">
            <v>0</v>
          </cell>
          <cell r="H59">
            <v>0</v>
          </cell>
          <cell r="I59">
            <v>1.2739505035649037</v>
          </cell>
          <cell r="J59">
            <v>0</v>
          </cell>
          <cell r="K59">
            <v>0</v>
          </cell>
          <cell r="L59">
            <v>1</v>
          </cell>
          <cell r="M59">
            <v>1.0270230382851822</v>
          </cell>
        </row>
        <row r="60">
          <cell r="C60" t="str">
            <v>(therms/kWh)</v>
          </cell>
          <cell r="D60">
            <v>-1.3632952027851877E-2</v>
          </cell>
          <cell r="E60">
            <v>0</v>
          </cell>
          <cell r="F60">
            <v>0</v>
          </cell>
          <cell r="G60">
            <v>0</v>
          </cell>
          <cell r="H60">
            <v>0</v>
          </cell>
          <cell r="I60">
            <v>0</v>
          </cell>
          <cell r="J60">
            <v>0</v>
          </cell>
          <cell r="K60">
            <v>0</v>
          </cell>
          <cell r="L60">
            <v>0</v>
          </cell>
          <cell r="M60">
            <v>-1.3803861283175838E-2</v>
          </cell>
        </row>
        <row r="61">
          <cell r="B61" t="str">
            <v xml:space="preserve">Fresno Area (CZ13) </v>
          </cell>
          <cell r="C61" t="str">
            <v>(kWh/kWh)</v>
          </cell>
          <cell r="D61">
            <v>1.1385178821720847</v>
          </cell>
          <cell r="E61">
            <v>1.0608129493150065</v>
          </cell>
          <cell r="F61">
            <v>0</v>
          </cell>
          <cell r="G61">
            <v>0</v>
          </cell>
          <cell r="H61">
            <v>0</v>
          </cell>
          <cell r="I61">
            <v>0.91640819279287422</v>
          </cell>
          <cell r="J61">
            <v>0</v>
          </cell>
          <cell r="K61">
            <v>0</v>
          </cell>
          <cell r="L61">
            <v>0.76900935931636294</v>
          </cell>
          <cell r="M61">
            <v>1.0223086313695346</v>
          </cell>
        </row>
        <row r="62">
          <cell r="C62" t="str">
            <v>(kW/kW)</v>
          </cell>
          <cell r="D62">
            <v>1.289792823373147</v>
          </cell>
          <cell r="E62">
            <v>1.2112580725601658</v>
          </cell>
          <cell r="F62">
            <v>0</v>
          </cell>
          <cell r="G62">
            <v>0</v>
          </cell>
          <cell r="H62">
            <v>0</v>
          </cell>
          <cell r="I62">
            <v>1.2995638654649644</v>
          </cell>
          <cell r="J62">
            <v>0</v>
          </cell>
          <cell r="K62">
            <v>0</v>
          </cell>
          <cell r="L62">
            <v>1</v>
          </cell>
          <cell r="M62">
            <v>1.0244581397360801</v>
          </cell>
        </row>
        <row r="63">
          <cell r="C63" t="str">
            <v>(therms/kWh)</v>
          </cell>
          <cell r="D63">
            <v>-1.09662250757336E-2</v>
          </cell>
          <cell r="E63">
            <v>0</v>
          </cell>
          <cell r="F63">
            <v>0</v>
          </cell>
          <cell r="G63">
            <v>0</v>
          </cell>
          <cell r="H63">
            <v>0</v>
          </cell>
          <cell r="I63">
            <v>0</v>
          </cell>
          <cell r="J63">
            <v>0</v>
          </cell>
          <cell r="K63">
            <v>0</v>
          </cell>
          <cell r="L63">
            <v>0</v>
          </cell>
          <cell r="M63">
            <v>-1.1445494416060045E-2</v>
          </cell>
        </row>
        <row r="64">
          <cell r="B64" t="str">
            <v xml:space="preserve">China Lake Area (CZ14) </v>
          </cell>
          <cell r="C64" t="str">
            <v>(kWh/kWh)</v>
          </cell>
          <cell r="D64">
            <v>0</v>
          </cell>
          <cell r="E64">
            <v>0</v>
          </cell>
          <cell r="F64">
            <v>0</v>
          </cell>
          <cell r="G64">
            <v>0</v>
          </cell>
          <cell r="H64">
            <v>0</v>
          </cell>
          <cell r="I64">
            <v>0</v>
          </cell>
          <cell r="J64">
            <v>0</v>
          </cell>
          <cell r="K64">
            <v>0</v>
          </cell>
          <cell r="L64">
            <v>0</v>
          </cell>
          <cell r="M64">
            <v>0</v>
          </cell>
        </row>
        <row r="65">
          <cell r="C65" t="str">
            <v>(kW/kW)</v>
          </cell>
          <cell r="D65">
            <v>0</v>
          </cell>
          <cell r="E65">
            <v>0</v>
          </cell>
          <cell r="F65">
            <v>0</v>
          </cell>
          <cell r="G65">
            <v>0</v>
          </cell>
          <cell r="H65">
            <v>0</v>
          </cell>
          <cell r="I65">
            <v>0</v>
          </cell>
          <cell r="J65">
            <v>0</v>
          </cell>
          <cell r="K65">
            <v>0</v>
          </cell>
          <cell r="L65">
            <v>0</v>
          </cell>
          <cell r="M65">
            <v>0</v>
          </cell>
        </row>
        <row r="66">
          <cell r="C66" t="str">
            <v>(therms/kWh)</v>
          </cell>
          <cell r="D66">
            <v>0</v>
          </cell>
          <cell r="E66">
            <v>0</v>
          </cell>
          <cell r="F66">
            <v>0</v>
          </cell>
          <cell r="G66">
            <v>0</v>
          </cell>
          <cell r="H66">
            <v>0</v>
          </cell>
          <cell r="I66">
            <v>0</v>
          </cell>
          <cell r="J66">
            <v>0</v>
          </cell>
          <cell r="K66">
            <v>0</v>
          </cell>
          <cell r="L66">
            <v>0</v>
          </cell>
          <cell r="M66">
            <v>0</v>
          </cell>
        </row>
        <row r="67">
          <cell r="B67" t="str">
            <v xml:space="preserve">Blythe Area (CZ15) </v>
          </cell>
          <cell r="C67" t="str">
            <v>(kWh/kWh)</v>
          </cell>
          <cell r="D67">
            <v>0</v>
          </cell>
          <cell r="E67">
            <v>0</v>
          </cell>
          <cell r="F67">
            <v>0</v>
          </cell>
          <cell r="G67">
            <v>0</v>
          </cell>
          <cell r="H67">
            <v>0</v>
          </cell>
          <cell r="I67">
            <v>0</v>
          </cell>
          <cell r="J67">
            <v>0</v>
          </cell>
          <cell r="K67">
            <v>0</v>
          </cell>
          <cell r="L67">
            <v>0</v>
          </cell>
          <cell r="M67">
            <v>0</v>
          </cell>
        </row>
        <row r="68">
          <cell r="C68" t="str">
            <v>(kW/kW)</v>
          </cell>
          <cell r="D68">
            <v>0</v>
          </cell>
          <cell r="E68">
            <v>0</v>
          </cell>
          <cell r="F68">
            <v>0</v>
          </cell>
          <cell r="G68">
            <v>0</v>
          </cell>
          <cell r="H68">
            <v>0</v>
          </cell>
          <cell r="I68">
            <v>0</v>
          </cell>
          <cell r="J68">
            <v>0</v>
          </cell>
          <cell r="K68">
            <v>0</v>
          </cell>
          <cell r="L68">
            <v>0</v>
          </cell>
          <cell r="M68">
            <v>0</v>
          </cell>
        </row>
        <row r="69">
          <cell r="C69" t="str">
            <v>(therms/kWh)</v>
          </cell>
          <cell r="D69">
            <v>0</v>
          </cell>
          <cell r="E69">
            <v>0</v>
          </cell>
          <cell r="F69">
            <v>0</v>
          </cell>
          <cell r="G69">
            <v>0</v>
          </cell>
          <cell r="H69">
            <v>0</v>
          </cell>
          <cell r="I69">
            <v>0</v>
          </cell>
          <cell r="J69">
            <v>0</v>
          </cell>
          <cell r="K69">
            <v>0</v>
          </cell>
          <cell r="L69">
            <v>0</v>
          </cell>
          <cell r="M69">
            <v>0</v>
          </cell>
        </row>
        <row r="70">
          <cell r="B70" t="str">
            <v xml:space="preserve">Mount Shasta Area (CZ16) </v>
          </cell>
          <cell r="C70" t="str">
            <v>(kWh/kWh)</v>
          </cell>
          <cell r="D70">
            <v>1.062440656508568</v>
          </cell>
          <cell r="E70">
            <v>0.86136817832436585</v>
          </cell>
          <cell r="F70">
            <v>0</v>
          </cell>
          <cell r="G70">
            <v>0</v>
          </cell>
          <cell r="H70">
            <v>0</v>
          </cell>
          <cell r="I70">
            <v>0.6316769905502555</v>
          </cell>
          <cell r="J70">
            <v>0</v>
          </cell>
          <cell r="K70">
            <v>0</v>
          </cell>
          <cell r="L70">
            <v>0.24051363204774609</v>
          </cell>
          <cell r="M70">
            <v>1.0109327666500882</v>
          </cell>
        </row>
        <row r="71">
          <cell r="C71" t="str">
            <v>(kW/kW)</v>
          </cell>
          <cell r="D71">
            <v>1.1377971389167376</v>
          </cell>
          <cell r="E71">
            <v>1.1406012244337123</v>
          </cell>
          <cell r="F71">
            <v>0</v>
          </cell>
          <cell r="G71">
            <v>0</v>
          </cell>
          <cell r="H71">
            <v>0</v>
          </cell>
          <cell r="I71">
            <v>1.1386724614374628</v>
          </cell>
          <cell r="J71">
            <v>0</v>
          </cell>
          <cell r="K71">
            <v>0</v>
          </cell>
          <cell r="L71">
            <v>1</v>
          </cell>
          <cell r="M71">
            <v>1.0149771754563637</v>
          </cell>
        </row>
        <row r="72">
          <cell r="C72" t="str">
            <v>(therms/kWh)</v>
          </cell>
          <cell r="D72">
            <v>-2.0106705249355698E-2</v>
          </cell>
          <cell r="E72">
            <v>0</v>
          </cell>
          <cell r="F72">
            <v>0</v>
          </cell>
          <cell r="G72">
            <v>0</v>
          </cell>
          <cell r="H72">
            <v>0</v>
          </cell>
          <cell r="I72">
            <v>0</v>
          </cell>
          <cell r="J72">
            <v>0</v>
          </cell>
          <cell r="K72">
            <v>0</v>
          </cell>
          <cell r="L72">
            <v>0</v>
          </cell>
          <cell r="M72">
            <v>-2.0547090473391507E-2</v>
          </cell>
        </row>
      </sheetData>
      <sheetData sheetId="2" refreshError="1">
        <row r="6">
          <cell r="AL6" t="str">
            <v>w01</v>
          </cell>
          <cell r="AM6" t="str">
            <v>w02</v>
          </cell>
          <cell r="AN6" t="str">
            <v>w03</v>
          </cell>
          <cell r="AO6" t="str">
            <v>w04</v>
          </cell>
          <cell r="AP6" t="str">
            <v>w05</v>
          </cell>
          <cell r="AQ6" t="str">
            <v>w06</v>
          </cell>
          <cell r="AR6" t="str">
            <v>w07</v>
          </cell>
          <cell r="AS6" t="str">
            <v>w08</v>
          </cell>
          <cell r="AT6" t="str">
            <v>w09</v>
          </cell>
          <cell r="AU6" t="str">
            <v>w10</v>
          </cell>
          <cell r="AV6" t="str">
            <v>w11</v>
          </cell>
          <cell r="AW6" t="str">
            <v>w12</v>
          </cell>
          <cell r="AX6" t="str">
            <v>w13</v>
          </cell>
          <cell r="AY6" t="str">
            <v>w14</v>
          </cell>
          <cell r="AZ6" t="str">
            <v>w15</v>
          </cell>
          <cell r="BA6" t="str">
            <v>w16</v>
          </cell>
        </row>
        <row r="7">
          <cell r="E7" t="str">
            <v>GasPac</v>
          </cell>
          <cell r="F7" t="str">
            <v>HP</v>
          </cell>
          <cell r="G7" t="str">
            <v>WLHP</v>
          </cell>
          <cell r="H7" t="str">
            <v>PSZElec</v>
          </cell>
          <cell r="I7" t="str">
            <v>ElecHeat</v>
          </cell>
          <cell r="J7" t="str">
            <v>GasFurn</v>
          </cell>
          <cell r="K7" t="str">
            <v>PVAV</v>
          </cell>
          <cell r="L7" t="str">
            <v>SVAV</v>
          </cell>
          <cell r="M7" t="str">
            <v>PVAVElec</v>
          </cell>
          <cell r="N7" t="str">
            <v>SVAVElec</v>
          </cell>
          <cell r="O7" t="str">
            <v>DX/Other</v>
          </cell>
          <cell r="P7" t="str">
            <v>Unconditioned</v>
          </cell>
        </row>
      </sheetData>
      <sheetData sheetId="3" refreshError="1"/>
      <sheetData sheetId="4" refreshError="1">
        <row r="3">
          <cell r="A3">
            <v>1</v>
          </cell>
          <cell r="B3" t="str">
            <v>PGE</v>
          </cell>
          <cell r="C3">
            <v>2</v>
          </cell>
        </row>
        <row r="4">
          <cell r="A4">
            <v>2</v>
          </cell>
          <cell r="B4" t="str">
            <v>SCE</v>
          </cell>
          <cell r="C4">
            <v>3</v>
          </cell>
        </row>
        <row r="5">
          <cell r="A5">
            <v>3</v>
          </cell>
          <cell r="B5" t="str">
            <v>SCG</v>
          </cell>
          <cell r="C5">
            <v>4</v>
          </cell>
        </row>
        <row r="6">
          <cell r="A6">
            <v>4</v>
          </cell>
          <cell r="B6" t="str">
            <v>SDGE</v>
          </cell>
          <cell r="C6">
            <v>5</v>
          </cell>
        </row>
        <row r="16">
          <cell r="D16" t="str">
            <v>GasPac</v>
          </cell>
          <cell r="E16" t="str">
            <v>HP</v>
          </cell>
          <cell r="F16" t="str">
            <v>PVAV</v>
          </cell>
          <cell r="G16" t="str">
            <v>SVAV</v>
          </cell>
          <cell r="H16" t="str">
            <v>WLHP</v>
          </cell>
          <cell r="I16" t="str">
            <v>PSZElec</v>
          </cell>
          <cell r="J16" t="str">
            <v>PVAVElec</v>
          </cell>
          <cell r="K16" t="str">
            <v>SVAVElec</v>
          </cell>
          <cell r="L16" t="str">
            <v>ElecHeat</v>
          </cell>
          <cell r="M16" t="str">
            <v>GasFurn</v>
          </cell>
        </row>
        <row r="18">
          <cell r="A18" t="str">
            <v>Assembly</v>
          </cell>
          <cell r="B18" t="str">
            <v>Asm</v>
          </cell>
          <cell r="C18" t="str">
            <v>NRMeasureDD</v>
          </cell>
          <cell r="D18">
            <v>1</v>
          </cell>
          <cell r="E18">
            <v>1</v>
          </cell>
          <cell r="F18">
            <v>0</v>
          </cell>
          <cell r="G18">
            <v>0</v>
          </cell>
          <cell r="H18">
            <v>0</v>
          </cell>
          <cell r="I18">
            <v>1</v>
          </cell>
          <cell r="J18">
            <v>0</v>
          </cell>
          <cell r="K18">
            <v>0</v>
          </cell>
          <cell r="L18">
            <v>1</v>
          </cell>
          <cell r="M18">
            <v>1</v>
          </cell>
          <cell r="O18">
            <v>1</v>
          </cell>
          <cell r="P18" t="str">
            <v>vN5</v>
          </cell>
        </row>
        <row r="19">
          <cell r="A19" t="str">
            <v>Education - Primary School</v>
          </cell>
          <cell r="B19" t="str">
            <v>EPr</v>
          </cell>
          <cell r="C19" t="str">
            <v>NRMeasureDD</v>
          </cell>
          <cell r="D19">
            <v>1</v>
          </cell>
          <cell r="E19">
            <v>1</v>
          </cell>
          <cell r="F19">
            <v>0</v>
          </cell>
          <cell r="G19">
            <v>0</v>
          </cell>
          <cell r="H19">
            <v>1</v>
          </cell>
          <cell r="I19">
            <v>1</v>
          </cell>
          <cell r="J19">
            <v>0</v>
          </cell>
          <cell r="K19">
            <v>0</v>
          </cell>
          <cell r="L19">
            <v>1</v>
          </cell>
          <cell r="M19">
            <v>1</v>
          </cell>
          <cell r="O19">
            <v>2</v>
          </cell>
          <cell r="P19" t="str">
            <v>vN5</v>
          </cell>
        </row>
        <row r="20">
          <cell r="A20" t="str">
            <v>Education - Secondary  School</v>
          </cell>
          <cell r="B20" t="str">
            <v>ESe</v>
          </cell>
          <cell r="C20" t="str">
            <v>NRMeasureDD</v>
          </cell>
          <cell r="D20">
            <v>1</v>
          </cell>
          <cell r="E20">
            <v>1</v>
          </cell>
          <cell r="F20">
            <v>1</v>
          </cell>
          <cell r="G20">
            <v>1</v>
          </cell>
          <cell r="H20">
            <v>1</v>
          </cell>
          <cell r="I20">
            <v>1</v>
          </cell>
          <cell r="J20">
            <v>1</v>
          </cell>
          <cell r="K20">
            <v>1</v>
          </cell>
          <cell r="L20">
            <v>1</v>
          </cell>
          <cell r="M20">
            <v>1</v>
          </cell>
          <cell r="O20">
            <v>3</v>
          </cell>
          <cell r="P20" t="str">
            <v>vN5</v>
          </cell>
        </row>
        <row r="21">
          <cell r="A21" t="str">
            <v>Education - Community College</v>
          </cell>
          <cell r="B21" t="str">
            <v>ECC</v>
          </cell>
          <cell r="C21" t="str">
            <v>NRMeasureDD</v>
          </cell>
          <cell r="D21">
            <v>1</v>
          </cell>
          <cell r="E21">
            <v>1</v>
          </cell>
          <cell r="F21">
            <v>1</v>
          </cell>
          <cell r="G21">
            <v>1</v>
          </cell>
          <cell r="H21">
            <v>1</v>
          </cell>
          <cell r="I21">
            <v>1</v>
          </cell>
          <cell r="J21">
            <v>1</v>
          </cell>
          <cell r="K21">
            <v>1</v>
          </cell>
          <cell r="L21">
            <v>1</v>
          </cell>
          <cell r="M21">
            <v>1</v>
          </cell>
          <cell r="O21">
            <v>4</v>
          </cell>
          <cell r="P21" t="str">
            <v>vN5</v>
          </cell>
        </row>
        <row r="22">
          <cell r="A22" t="str">
            <v>Education - University</v>
          </cell>
          <cell r="B22" t="str">
            <v>Eun</v>
          </cell>
          <cell r="C22" t="str">
            <v>NRMeasureDD</v>
          </cell>
          <cell r="D22">
            <v>1</v>
          </cell>
          <cell r="E22">
            <v>1</v>
          </cell>
          <cell r="F22">
            <v>1</v>
          </cell>
          <cell r="G22">
            <v>1</v>
          </cell>
          <cell r="H22">
            <v>0</v>
          </cell>
          <cell r="I22">
            <v>1</v>
          </cell>
          <cell r="J22">
            <v>1</v>
          </cell>
          <cell r="K22">
            <v>1</v>
          </cell>
          <cell r="L22">
            <v>1</v>
          </cell>
          <cell r="M22">
            <v>1</v>
          </cell>
          <cell r="O22">
            <v>5</v>
          </cell>
          <cell r="P22" t="str">
            <v>vN5</v>
          </cell>
        </row>
        <row r="23">
          <cell r="A23" t="str">
            <v>Education - Relocatable Classroom</v>
          </cell>
          <cell r="B23" t="str">
            <v>ERC</v>
          </cell>
          <cell r="C23" t="str">
            <v>NRMeasureDD</v>
          </cell>
          <cell r="D23">
            <v>1</v>
          </cell>
          <cell r="E23">
            <v>1</v>
          </cell>
          <cell r="F23">
            <v>0</v>
          </cell>
          <cell r="G23">
            <v>0</v>
          </cell>
          <cell r="H23">
            <v>0</v>
          </cell>
          <cell r="I23">
            <v>1</v>
          </cell>
          <cell r="J23">
            <v>0</v>
          </cell>
          <cell r="K23">
            <v>0</v>
          </cell>
          <cell r="L23">
            <v>1</v>
          </cell>
          <cell r="M23">
            <v>1</v>
          </cell>
          <cell r="O23">
            <v>6</v>
          </cell>
          <cell r="P23" t="str">
            <v>vN5</v>
          </cell>
        </row>
        <row r="24">
          <cell r="A24" t="str">
            <v>Grocery</v>
          </cell>
          <cell r="B24" t="str">
            <v>Gro</v>
          </cell>
          <cell r="C24" t="str">
            <v>NRMeasureDD</v>
          </cell>
          <cell r="D24">
            <v>1</v>
          </cell>
          <cell r="E24">
            <v>1</v>
          </cell>
          <cell r="F24">
            <v>0</v>
          </cell>
          <cell r="G24">
            <v>0</v>
          </cell>
          <cell r="H24">
            <v>0</v>
          </cell>
          <cell r="I24">
            <v>1</v>
          </cell>
          <cell r="J24">
            <v>0</v>
          </cell>
          <cell r="K24">
            <v>0</v>
          </cell>
          <cell r="L24">
            <v>1</v>
          </cell>
          <cell r="M24">
            <v>1</v>
          </cell>
          <cell r="O24">
            <v>7</v>
          </cell>
          <cell r="P24" t="str">
            <v>vN5</v>
          </cell>
        </row>
        <row r="25">
          <cell r="A25" t="str">
            <v>Health/Medical - Hospital</v>
          </cell>
          <cell r="B25" t="str">
            <v>Hsp</v>
          </cell>
          <cell r="C25" t="str">
            <v>NRMeasureDD</v>
          </cell>
          <cell r="D25">
            <v>1</v>
          </cell>
          <cell r="E25">
            <v>1</v>
          </cell>
          <cell r="F25">
            <v>1</v>
          </cell>
          <cell r="G25">
            <v>1</v>
          </cell>
          <cell r="H25">
            <v>0</v>
          </cell>
          <cell r="I25">
            <v>1</v>
          </cell>
          <cell r="J25">
            <v>1</v>
          </cell>
          <cell r="K25">
            <v>1</v>
          </cell>
          <cell r="L25">
            <v>1</v>
          </cell>
          <cell r="M25">
            <v>1</v>
          </cell>
          <cell r="O25">
            <v>8</v>
          </cell>
          <cell r="P25" t="str">
            <v>vN5</v>
          </cell>
        </row>
        <row r="26">
          <cell r="A26" t="str">
            <v>Health/Medical - Nursing Home</v>
          </cell>
          <cell r="B26" t="str">
            <v>Nrs</v>
          </cell>
          <cell r="C26" t="str">
            <v>NRMeasureDD</v>
          </cell>
          <cell r="D26">
            <v>1</v>
          </cell>
          <cell r="E26">
            <v>1</v>
          </cell>
          <cell r="F26">
            <v>1</v>
          </cell>
          <cell r="G26">
            <v>1</v>
          </cell>
          <cell r="H26">
            <v>0</v>
          </cell>
          <cell r="I26">
            <v>1</v>
          </cell>
          <cell r="J26">
            <v>1</v>
          </cell>
          <cell r="K26">
            <v>1</v>
          </cell>
          <cell r="L26">
            <v>1</v>
          </cell>
          <cell r="M26">
            <v>1</v>
          </cell>
          <cell r="O26">
            <v>9</v>
          </cell>
          <cell r="P26" t="str">
            <v>vN5</v>
          </cell>
        </row>
        <row r="27">
          <cell r="A27" t="str">
            <v>Lodging - Hotel</v>
          </cell>
          <cell r="B27" t="str">
            <v>Htl</v>
          </cell>
          <cell r="C27" t="str">
            <v>NRMeasureDD</v>
          </cell>
          <cell r="D27">
            <v>1</v>
          </cell>
          <cell r="E27">
            <v>1</v>
          </cell>
          <cell r="F27">
            <v>1</v>
          </cell>
          <cell r="G27">
            <v>1</v>
          </cell>
          <cell r="H27">
            <v>1</v>
          </cell>
          <cell r="I27">
            <v>1</v>
          </cell>
          <cell r="J27">
            <v>1</v>
          </cell>
          <cell r="K27">
            <v>1</v>
          </cell>
          <cell r="L27">
            <v>1</v>
          </cell>
          <cell r="M27">
            <v>1</v>
          </cell>
          <cell r="O27">
            <v>10</v>
          </cell>
          <cell r="P27" t="str">
            <v>vN5</v>
          </cell>
        </row>
        <row r="28">
          <cell r="A28" t="str">
            <v>Lodging - Motel</v>
          </cell>
          <cell r="B28" t="str">
            <v>Mtl</v>
          </cell>
          <cell r="C28" t="str">
            <v>NRMeasureDD</v>
          </cell>
          <cell r="D28">
            <v>1</v>
          </cell>
          <cell r="E28">
            <v>1</v>
          </cell>
          <cell r="F28">
            <v>0</v>
          </cell>
          <cell r="G28">
            <v>0</v>
          </cell>
          <cell r="H28">
            <v>0</v>
          </cell>
          <cell r="I28">
            <v>1</v>
          </cell>
          <cell r="J28">
            <v>0</v>
          </cell>
          <cell r="K28">
            <v>0</v>
          </cell>
          <cell r="L28">
            <v>1</v>
          </cell>
          <cell r="M28">
            <v>1</v>
          </cell>
          <cell r="O28">
            <v>11</v>
          </cell>
          <cell r="P28" t="str">
            <v>vN5</v>
          </cell>
        </row>
        <row r="29">
          <cell r="A29" t="str">
            <v>Manufacturing - Bio/Tech</v>
          </cell>
          <cell r="B29" t="str">
            <v>MBT</v>
          </cell>
          <cell r="C29" t="str">
            <v>NRMeasureDD</v>
          </cell>
          <cell r="D29">
            <v>1</v>
          </cell>
          <cell r="E29">
            <v>1</v>
          </cell>
          <cell r="F29">
            <v>0</v>
          </cell>
          <cell r="G29">
            <v>0</v>
          </cell>
          <cell r="H29">
            <v>1</v>
          </cell>
          <cell r="I29">
            <v>1</v>
          </cell>
          <cell r="J29">
            <v>0</v>
          </cell>
          <cell r="K29">
            <v>0</v>
          </cell>
          <cell r="L29">
            <v>1</v>
          </cell>
          <cell r="M29">
            <v>1</v>
          </cell>
          <cell r="O29">
            <v>12</v>
          </cell>
          <cell r="P29" t="str">
            <v>vN5</v>
          </cell>
        </row>
        <row r="30">
          <cell r="A30" t="str">
            <v>Manufacturing - Light Industrial</v>
          </cell>
          <cell r="B30" t="str">
            <v>MLI</v>
          </cell>
          <cell r="C30" t="str">
            <v>NRMeasureDD</v>
          </cell>
          <cell r="D30">
            <v>1</v>
          </cell>
          <cell r="E30">
            <v>1</v>
          </cell>
          <cell r="F30">
            <v>0</v>
          </cell>
          <cell r="G30">
            <v>0</v>
          </cell>
          <cell r="H30">
            <v>0</v>
          </cell>
          <cell r="I30">
            <v>1</v>
          </cell>
          <cell r="J30">
            <v>0</v>
          </cell>
          <cell r="K30">
            <v>0</v>
          </cell>
          <cell r="L30">
            <v>1</v>
          </cell>
          <cell r="M30">
            <v>1</v>
          </cell>
          <cell r="O30">
            <v>13</v>
          </cell>
          <cell r="P30" t="str">
            <v>vN5</v>
          </cell>
        </row>
        <row r="31">
          <cell r="A31" t="str">
            <v>Office - Large</v>
          </cell>
          <cell r="B31" t="str">
            <v>OfL</v>
          </cell>
          <cell r="C31" t="str">
            <v>NRMeasureDD</v>
          </cell>
          <cell r="D31">
            <v>1</v>
          </cell>
          <cell r="E31">
            <v>1</v>
          </cell>
          <cell r="F31">
            <v>1</v>
          </cell>
          <cell r="G31">
            <v>1</v>
          </cell>
          <cell r="H31">
            <v>1</v>
          </cell>
          <cell r="I31">
            <v>1</v>
          </cell>
          <cell r="J31">
            <v>1</v>
          </cell>
          <cell r="K31">
            <v>1</v>
          </cell>
          <cell r="L31">
            <v>1</v>
          </cell>
          <cell r="M31">
            <v>1</v>
          </cell>
          <cell r="O31">
            <v>14</v>
          </cell>
          <cell r="P31" t="str">
            <v>vN5</v>
          </cell>
        </row>
        <row r="32">
          <cell r="A32" t="str">
            <v>Office - Small</v>
          </cell>
          <cell r="B32" t="str">
            <v>OfS</v>
          </cell>
          <cell r="C32" t="str">
            <v>NRMeasureDD</v>
          </cell>
          <cell r="D32">
            <v>1</v>
          </cell>
          <cell r="E32">
            <v>1</v>
          </cell>
          <cell r="F32">
            <v>1</v>
          </cell>
          <cell r="G32">
            <v>1</v>
          </cell>
          <cell r="H32">
            <v>1</v>
          </cell>
          <cell r="I32">
            <v>1</v>
          </cell>
          <cell r="J32">
            <v>1</v>
          </cell>
          <cell r="K32">
            <v>1</v>
          </cell>
          <cell r="L32">
            <v>1</v>
          </cell>
          <cell r="M32">
            <v>1</v>
          </cell>
          <cell r="O32">
            <v>15</v>
          </cell>
          <cell r="P32" t="str">
            <v>vN5</v>
          </cell>
        </row>
        <row r="33">
          <cell r="A33" t="str">
            <v>Restaurant - Sit Down</v>
          </cell>
          <cell r="B33" t="str">
            <v>RSD</v>
          </cell>
          <cell r="C33" t="str">
            <v>NRMeasureDD</v>
          </cell>
          <cell r="D33">
            <v>1</v>
          </cell>
          <cell r="E33">
            <v>1</v>
          </cell>
          <cell r="F33">
            <v>0</v>
          </cell>
          <cell r="G33">
            <v>0</v>
          </cell>
          <cell r="H33">
            <v>0</v>
          </cell>
          <cell r="I33">
            <v>1</v>
          </cell>
          <cell r="J33">
            <v>0</v>
          </cell>
          <cell r="K33">
            <v>0</v>
          </cell>
          <cell r="L33">
            <v>1</v>
          </cell>
          <cell r="M33">
            <v>1</v>
          </cell>
          <cell r="O33">
            <v>16</v>
          </cell>
          <cell r="P33" t="str">
            <v>vN5</v>
          </cell>
        </row>
        <row r="34">
          <cell r="A34" t="str">
            <v>Restaurant - Fast Food</v>
          </cell>
          <cell r="B34" t="str">
            <v>RFF</v>
          </cell>
          <cell r="C34" t="str">
            <v>NRMeasureDD</v>
          </cell>
          <cell r="D34">
            <v>1</v>
          </cell>
          <cell r="E34">
            <v>1</v>
          </cell>
          <cell r="F34">
            <v>0</v>
          </cell>
          <cell r="G34">
            <v>0</v>
          </cell>
          <cell r="H34">
            <v>0</v>
          </cell>
          <cell r="I34">
            <v>1</v>
          </cell>
          <cell r="J34">
            <v>0</v>
          </cell>
          <cell r="K34">
            <v>0</v>
          </cell>
          <cell r="L34">
            <v>1</v>
          </cell>
          <cell r="M34">
            <v>1</v>
          </cell>
          <cell r="O34">
            <v>17</v>
          </cell>
          <cell r="P34" t="str">
            <v>vN5</v>
          </cell>
        </row>
        <row r="35">
          <cell r="A35" t="str">
            <v>Retail - Multistory Large</v>
          </cell>
          <cell r="B35" t="str">
            <v>Rt3</v>
          </cell>
          <cell r="C35" t="str">
            <v>NRMeasureDD</v>
          </cell>
          <cell r="D35">
            <v>1</v>
          </cell>
          <cell r="E35">
            <v>1</v>
          </cell>
          <cell r="F35">
            <v>1</v>
          </cell>
          <cell r="G35">
            <v>1</v>
          </cell>
          <cell r="H35">
            <v>1</v>
          </cell>
          <cell r="I35">
            <v>1</v>
          </cell>
          <cell r="J35">
            <v>1</v>
          </cell>
          <cell r="K35">
            <v>1</v>
          </cell>
          <cell r="L35">
            <v>1</v>
          </cell>
          <cell r="M35">
            <v>1</v>
          </cell>
          <cell r="O35">
            <v>18</v>
          </cell>
          <cell r="P35" t="str">
            <v>vN5</v>
          </cell>
        </row>
        <row r="36">
          <cell r="A36" t="str">
            <v>Retail - Single-Story Large</v>
          </cell>
          <cell r="B36" t="str">
            <v>RtL</v>
          </cell>
          <cell r="C36" t="str">
            <v>NRMeasureDD</v>
          </cell>
          <cell r="D36">
            <v>1</v>
          </cell>
          <cell r="E36">
            <v>1</v>
          </cell>
          <cell r="F36">
            <v>0</v>
          </cell>
          <cell r="G36">
            <v>0</v>
          </cell>
          <cell r="H36">
            <v>0</v>
          </cell>
          <cell r="I36">
            <v>1</v>
          </cell>
          <cell r="J36">
            <v>0</v>
          </cell>
          <cell r="K36">
            <v>0</v>
          </cell>
          <cell r="L36">
            <v>1</v>
          </cell>
          <cell r="M36">
            <v>1</v>
          </cell>
          <cell r="O36">
            <v>19</v>
          </cell>
          <cell r="P36" t="str">
            <v>vN5</v>
          </cell>
        </row>
        <row r="37">
          <cell r="A37" t="str">
            <v>Retail - Small</v>
          </cell>
          <cell r="B37" t="str">
            <v>RtS</v>
          </cell>
          <cell r="C37" t="str">
            <v>NRMeasureDD</v>
          </cell>
          <cell r="D37">
            <v>1</v>
          </cell>
          <cell r="E37">
            <v>1</v>
          </cell>
          <cell r="F37">
            <v>0</v>
          </cell>
          <cell r="G37">
            <v>0</v>
          </cell>
          <cell r="H37">
            <v>0</v>
          </cell>
          <cell r="I37">
            <v>1</v>
          </cell>
          <cell r="J37">
            <v>0</v>
          </cell>
          <cell r="K37">
            <v>0</v>
          </cell>
          <cell r="L37">
            <v>1</v>
          </cell>
          <cell r="M37">
            <v>1</v>
          </cell>
          <cell r="O37">
            <v>20</v>
          </cell>
          <cell r="P37" t="str">
            <v>vN5</v>
          </cell>
        </row>
        <row r="38">
          <cell r="A38" t="str">
            <v>Storage - Conditioned</v>
          </cell>
          <cell r="B38" t="str">
            <v>SCn</v>
          </cell>
          <cell r="C38" t="str">
            <v>NRMeasureDD</v>
          </cell>
          <cell r="D38">
            <v>1</v>
          </cell>
          <cell r="E38">
            <v>1</v>
          </cell>
          <cell r="F38">
            <v>0</v>
          </cell>
          <cell r="G38">
            <v>0</v>
          </cell>
          <cell r="H38">
            <v>0</v>
          </cell>
          <cell r="I38">
            <v>1</v>
          </cell>
          <cell r="J38">
            <v>0</v>
          </cell>
          <cell r="K38">
            <v>0</v>
          </cell>
          <cell r="L38">
            <v>1</v>
          </cell>
          <cell r="M38">
            <v>1</v>
          </cell>
          <cell r="O38">
            <v>21</v>
          </cell>
          <cell r="P38" t="str">
            <v>vN5</v>
          </cell>
        </row>
        <row r="39">
          <cell r="A39" t="str">
            <v>Single Family Residential</v>
          </cell>
          <cell r="B39" t="str">
            <v>SFM</v>
          </cell>
          <cell r="C39" t="str">
            <v>RMeasureDD</v>
          </cell>
          <cell r="D39">
            <v>1</v>
          </cell>
          <cell r="E39">
            <v>1</v>
          </cell>
          <cell r="F39">
            <v>0</v>
          </cell>
          <cell r="G39">
            <v>0</v>
          </cell>
          <cell r="H39">
            <v>0</v>
          </cell>
          <cell r="I39">
            <v>0</v>
          </cell>
          <cell r="J39">
            <v>0</v>
          </cell>
          <cell r="K39">
            <v>0</v>
          </cell>
          <cell r="L39">
            <v>1</v>
          </cell>
          <cell r="M39">
            <v>1</v>
          </cell>
          <cell r="N39" t="str">
            <v>-tWt</v>
          </cell>
          <cell r="O39">
            <v>24</v>
          </cell>
          <cell r="P39" t="str">
            <v>v07</v>
          </cell>
        </row>
        <row r="40">
          <cell r="A40" t="str">
            <v>Multi-Family Residential</v>
          </cell>
          <cell r="B40" t="str">
            <v>MFM</v>
          </cell>
          <cell r="C40" t="str">
            <v>RMeasureDD</v>
          </cell>
          <cell r="D40">
            <v>1</v>
          </cell>
          <cell r="E40">
            <v>1</v>
          </cell>
          <cell r="F40">
            <v>0</v>
          </cell>
          <cell r="G40">
            <v>0</v>
          </cell>
          <cell r="H40">
            <v>0</v>
          </cell>
          <cell r="I40">
            <v>0</v>
          </cell>
          <cell r="J40">
            <v>0</v>
          </cell>
          <cell r="K40">
            <v>0</v>
          </cell>
          <cell r="L40">
            <v>1</v>
          </cell>
          <cell r="M40">
            <v>1</v>
          </cell>
          <cell r="N40" t="str">
            <v>-tWt</v>
          </cell>
          <cell r="O40">
            <v>25</v>
          </cell>
          <cell r="P40" t="str">
            <v>v07</v>
          </cell>
        </row>
        <row r="41">
          <cell r="A41" t="str">
            <v>Double Wide Mobile Home</v>
          </cell>
          <cell r="B41" t="str">
            <v>DMO</v>
          </cell>
          <cell r="C41" t="str">
            <v>RMeasureDD</v>
          </cell>
          <cell r="D41">
            <v>1</v>
          </cell>
          <cell r="E41">
            <v>1</v>
          </cell>
          <cell r="F41">
            <v>0</v>
          </cell>
          <cell r="G41">
            <v>0</v>
          </cell>
          <cell r="H41">
            <v>0</v>
          </cell>
          <cell r="I41">
            <v>0</v>
          </cell>
          <cell r="J41">
            <v>0</v>
          </cell>
          <cell r="K41">
            <v>0</v>
          </cell>
          <cell r="L41">
            <v>1</v>
          </cell>
          <cell r="M41">
            <v>1</v>
          </cell>
          <cell r="N41" t="str">
            <v>-tWt</v>
          </cell>
          <cell r="O41">
            <v>26</v>
          </cell>
          <cell r="P41" t="str">
            <v>v06</v>
          </cell>
        </row>
        <row r="47">
          <cell r="A47" t="str">
            <v>Existing Buildings</v>
          </cell>
          <cell r="B47" t="str">
            <v>vPGx</v>
          </cell>
          <cell r="C47" t="str">
            <v>vSCx</v>
          </cell>
          <cell r="D47" t="str">
            <v>vSGx</v>
          </cell>
          <cell r="E47" t="str">
            <v>vSDx</v>
          </cell>
          <cell r="F47" t="str">
            <v>vEx</v>
          </cell>
          <cell r="G47" t="str">
            <v>ex</v>
          </cell>
        </row>
        <row r="48">
          <cell r="A48" t="str">
            <v>New Construction</v>
          </cell>
          <cell r="B48" t="str">
            <v>vN5</v>
          </cell>
          <cell r="C48" t="str">
            <v>vN5</v>
          </cell>
          <cell r="D48" t="str">
            <v>vN5</v>
          </cell>
          <cell r="E48" t="str">
            <v>vN5</v>
          </cell>
          <cell r="F48" t="str">
            <v>vN5</v>
          </cell>
          <cell r="G48" t="str">
            <v>new</v>
          </cell>
        </row>
        <row r="57">
          <cell r="B57" t="str">
            <v>Upgrade to CFL Bulbs (NonRes)</v>
          </cell>
          <cell r="C57" t="str">
            <v>ILtg-FixtPwr-Sec-100wIncRef100w-25wCFLRefSMg25w</v>
          </cell>
          <cell r="D57" t="str">
            <v>NRCFLBase</v>
          </cell>
          <cell r="E57" t="str">
            <v>vN5</v>
          </cell>
          <cell r="F57" t="str">
            <v>vN5</v>
          </cell>
        </row>
        <row r="58">
          <cell r="B58" t="str">
            <v>Exit Sign Upgrade</v>
          </cell>
          <cell r="C58" t="str">
            <v>ILtg-Power-Exit-60pct</v>
          </cell>
          <cell r="D58" t="str">
            <v>NRExitBase</v>
          </cell>
          <cell r="E58" t="str">
            <v>vN5</v>
          </cell>
          <cell r="F58" t="str">
            <v>vN5</v>
          </cell>
        </row>
        <row r="59">
          <cell r="B59" t="str">
            <v>Linear Fluorescent or HID Upgrade</v>
          </cell>
          <cell r="C59" t="str">
            <v>ILtg-LFluor-Prim-RplLPD-48in39wT12SMg60w-48in3g30wT8ESPISNEl27w</v>
          </cell>
          <cell r="D59" t="str">
            <v>NRLFLBase</v>
          </cell>
          <cell r="E59" t="str">
            <v>v07</v>
          </cell>
          <cell r="F59" t="str">
            <v>vN5</v>
          </cell>
        </row>
        <row r="60">
          <cell r="B60" t="str">
            <v>Upgrade to CFL Bulbs (Res)</v>
          </cell>
          <cell r="C60" t="str">
            <v>ILtg-CFL-Int-7W-Rpl-Prim</v>
          </cell>
          <cell r="D60" t="str">
            <v>RCFLBase</v>
          </cell>
          <cell r="E60" t="str">
            <v>v07</v>
          </cell>
          <cell r="F60" t="str">
            <v>vN5</v>
          </cell>
        </row>
        <row r="61">
          <cell r="B61" t="str">
            <v>Medium Refrigerator Replacement</v>
          </cell>
          <cell r="C61" t="str">
            <v>Appl-RefgFrzrRef-Refg-900kWh-500kWh</v>
          </cell>
          <cell r="D61" t="str">
            <v>RMedRFrBase</v>
          </cell>
          <cell r="E61" t="str">
            <v>v07</v>
          </cell>
          <cell r="F61" t="str">
            <v>vN5</v>
          </cell>
        </row>
        <row r="62">
          <cell r="B62" t="str">
            <v>Large Refrigerator Replacement</v>
          </cell>
          <cell r="C62" t="str">
            <v>Appl-RefgFrzrRef-Frzr-1400kWh-1000kWh</v>
          </cell>
          <cell r="D62" t="str">
            <v>RLgRFrBase</v>
          </cell>
          <cell r="E62" t="str">
            <v>v07</v>
          </cell>
          <cell r="F62" t="str">
            <v>vN5</v>
          </cell>
        </row>
        <row r="70">
          <cell r="B70" t="str">
            <v xml:space="preserve">Arcata Area (CZ01) </v>
          </cell>
          <cell r="C70" t="str">
            <v>w01</v>
          </cell>
          <cell r="D70">
            <v>1</v>
          </cell>
          <cell r="E70">
            <v>0</v>
          </cell>
          <cell r="F70">
            <v>0</v>
          </cell>
          <cell r="G70">
            <v>0</v>
          </cell>
        </row>
        <row r="71">
          <cell r="B71" t="str">
            <v xml:space="preserve">Santa Rosa Area (CZ02) </v>
          </cell>
          <cell r="C71" t="str">
            <v>w02</v>
          </cell>
          <cell r="D71">
            <v>1</v>
          </cell>
          <cell r="E71">
            <v>0</v>
          </cell>
          <cell r="F71">
            <v>0</v>
          </cell>
          <cell r="G71">
            <v>0</v>
          </cell>
        </row>
        <row r="72">
          <cell r="B72" t="str">
            <v xml:space="preserve">Oakland Area (CZ03) </v>
          </cell>
          <cell r="C72" t="str">
            <v>w03</v>
          </cell>
          <cell r="D72">
            <v>1</v>
          </cell>
          <cell r="E72">
            <v>0</v>
          </cell>
          <cell r="F72">
            <v>0</v>
          </cell>
          <cell r="G72">
            <v>0</v>
          </cell>
        </row>
        <row r="73">
          <cell r="B73" t="str">
            <v xml:space="preserve">Sunnyvale Area (CZ04) </v>
          </cell>
          <cell r="C73" t="str">
            <v>w04</v>
          </cell>
          <cell r="D73">
            <v>1</v>
          </cell>
          <cell r="E73">
            <v>0</v>
          </cell>
          <cell r="F73">
            <v>0</v>
          </cell>
          <cell r="G73">
            <v>0</v>
          </cell>
        </row>
        <row r="74">
          <cell r="B74" t="str">
            <v xml:space="preserve">Santa Maria Area (CZ05) </v>
          </cell>
          <cell r="C74" t="str">
            <v>w05</v>
          </cell>
          <cell r="D74">
            <v>1</v>
          </cell>
          <cell r="E74">
            <v>1</v>
          </cell>
          <cell r="F74">
            <v>1</v>
          </cell>
          <cell r="G74">
            <v>0</v>
          </cell>
        </row>
        <row r="75">
          <cell r="B75" t="str">
            <v xml:space="preserve">Los Angeles Area (CZ06) </v>
          </cell>
          <cell r="C75" t="str">
            <v>w06</v>
          </cell>
          <cell r="D75">
            <v>0</v>
          </cell>
          <cell r="E75">
            <v>1</v>
          </cell>
          <cell r="F75">
            <v>1</v>
          </cell>
          <cell r="G75">
            <v>1</v>
          </cell>
        </row>
        <row r="76">
          <cell r="B76" t="str">
            <v xml:space="preserve">San Diego Area (CZ07) </v>
          </cell>
          <cell r="C76" t="str">
            <v>w07</v>
          </cell>
          <cell r="D76">
            <v>0</v>
          </cell>
          <cell r="E76">
            <v>0</v>
          </cell>
          <cell r="F76">
            <v>0</v>
          </cell>
          <cell r="G76">
            <v>1</v>
          </cell>
        </row>
        <row r="77">
          <cell r="B77" t="str">
            <v xml:space="preserve">El Toro Area (CZ08) </v>
          </cell>
          <cell r="C77" t="str">
            <v>w08</v>
          </cell>
          <cell r="D77">
            <v>0</v>
          </cell>
          <cell r="E77">
            <v>1</v>
          </cell>
          <cell r="F77">
            <v>1</v>
          </cell>
          <cell r="G77">
            <v>1</v>
          </cell>
        </row>
        <row r="78">
          <cell r="B78" t="str">
            <v xml:space="preserve">Pasadena Area (CZ09) </v>
          </cell>
          <cell r="C78" t="str">
            <v>w09</v>
          </cell>
          <cell r="D78">
            <v>0</v>
          </cell>
          <cell r="E78">
            <v>1</v>
          </cell>
          <cell r="F78">
            <v>1</v>
          </cell>
          <cell r="G78">
            <v>0</v>
          </cell>
        </row>
        <row r="79">
          <cell r="B79" t="str">
            <v xml:space="preserve">San Bernardino Area (CZ10) </v>
          </cell>
          <cell r="C79" t="str">
            <v>w10</v>
          </cell>
          <cell r="D79">
            <v>0</v>
          </cell>
          <cell r="E79">
            <v>1</v>
          </cell>
          <cell r="F79">
            <v>1</v>
          </cell>
          <cell r="G79">
            <v>1</v>
          </cell>
        </row>
        <row r="80">
          <cell r="B80" t="str">
            <v xml:space="preserve">Red Bluff Area (CZ11) </v>
          </cell>
          <cell r="C80" t="str">
            <v>w11</v>
          </cell>
          <cell r="D80">
            <v>1</v>
          </cell>
          <cell r="E80">
            <v>0</v>
          </cell>
          <cell r="F80">
            <v>0</v>
          </cell>
          <cell r="G80">
            <v>0</v>
          </cell>
        </row>
        <row r="81">
          <cell r="B81" t="str">
            <v xml:space="preserve">Sacramento Area (CZ12) </v>
          </cell>
          <cell r="C81" t="str">
            <v>w12</v>
          </cell>
          <cell r="D81">
            <v>1</v>
          </cell>
          <cell r="E81">
            <v>0</v>
          </cell>
          <cell r="F81">
            <v>0</v>
          </cell>
          <cell r="G81">
            <v>0</v>
          </cell>
        </row>
        <row r="82">
          <cell r="B82" t="str">
            <v xml:space="preserve">Fresno Area (CZ13) </v>
          </cell>
          <cell r="C82" t="str">
            <v>w13</v>
          </cell>
          <cell r="D82">
            <v>1</v>
          </cell>
          <cell r="E82">
            <v>1</v>
          </cell>
          <cell r="F82">
            <v>1</v>
          </cell>
          <cell r="G82">
            <v>0</v>
          </cell>
        </row>
        <row r="83">
          <cell r="B83" t="str">
            <v xml:space="preserve">China Lake Area (CZ14) </v>
          </cell>
          <cell r="C83" t="str">
            <v>w14</v>
          </cell>
          <cell r="D83">
            <v>0</v>
          </cell>
          <cell r="E83">
            <v>1</v>
          </cell>
          <cell r="F83">
            <v>1</v>
          </cell>
          <cell r="G83">
            <v>1</v>
          </cell>
        </row>
        <row r="84">
          <cell r="B84" t="str">
            <v xml:space="preserve">Blythe Area (CZ15) </v>
          </cell>
          <cell r="C84" t="str">
            <v>w15</v>
          </cell>
          <cell r="D84">
            <v>0</v>
          </cell>
          <cell r="E84">
            <v>1</v>
          </cell>
          <cell r="F84">
            <v>1</v>
          </cell>
          <cell r="G84">
            <v>1</v>
          </cell>
        </row>
        <row r="85">
          <cell r="B85" t="str">
            <v xml:space="preserve">Mount Shasta Area (CZ16) </v>
          </cell>
          <cell r="C85" t="str">
            <v>w16</v>
          </cell>
          <cell r="D85">
            <v>1</v>
          </cell>
          <cell r="E85">
            <v>1</v>
          </cell>
          <cell r="F85">
            <v>1</v>
          </cell>
          <cell r="G85">
            <v>0</v>
          </cell>
        </row>
        <row r="86">
          <cell r="B86" t="str">
            <v>Whole Utility</v>
          </cell>
          <cell r="D86" t="str">
            <v>wPGE</v>
          </cell>
          <cell r="E86" t="str">
            <v>wSCE</v>
          </cell>
          <cell r="F86" t="str">
            <v>wSCG</v>
          </cell>
          <cell r="G86" t="str">
            <v>wSDGE</v>
          </cell>
        </row>
        <row r="91">
          <cell r="H91" t="str">
            <v>Customer Average</v>
          </cell>
          <cell r="I91" t="str">
            <v>CAv</v>
          </cell>
        </row>
        <row r="92">
          <cell r="H92" t="str">
            <v>2005 Code/Standard</v>
          </cell>
          <cell r="I92" t="str">
            <v>C05</v>
          </cell>
        </row>
        <row r="93">
          <cell r="H93" t="str">
            <v>2008 Code/Standard</v>
          </cell>
          <cell r="I93" t="str">
            <v>C08</v>
          </cell>
        </row>
        <row r="110">
          <cell r="A110" t="str">
            <v>(kWh/kWh)</v>
          </cell>
          <cell r="B110">
            <v>12</v>
          </cell>
        </row>
        <row r="111">
          <cell r="A111" t="str">
            <v>(therms/kWh)</v>
          </cell>
          <cell r="B111">
            <v>13</v>
          </cell>
        </row>
        <row r="112">
          <cell r="A112" t="str">
            <v>(kW/kW)</v>
          </cell>
          <cell r="B112">
            <v>17</v>
          </cell>
        </row>
        <row r="116">
          <cell r="A116" t="str">
            <v>GasPac</v>
          </cell>
          <cell r="B116">
            <v>1</v>
          </cell>
          <cell r="C116" t="str">
            <v>C</v>
          </cell>
        </row>
        <row r="117">
          <cell r="A117" t="str">
            <v>HP</v>
          </cell>
          <cell r="B117">
            <v>2</v>
          </cell>
          <cell r="C117" t="str">
            <v>C</v>
          </cell>
        </row>
        <row r="118">
          <cell r="A118" t="str">
            <v>PVAV</v>
          </cell>
          <cell r="B118">
            <v>7</v>
          </cell>
          <cell r="C118" t="str">
            <v>C</v>
          </cell>
        </row>
        <row r="119">
          <cell r="A119" t="str">
            <v>SVAV</v>
          </cell>
          <cell r="B119">
            <v>8</v>
          </cell>
          <cell r="C119" t="str">
            <v>C</v>
          </cell>
        </row>
        <row r="120">
          <cell r="A120" t="str">
            <v>WLHP</v>
          </cell>
          <cell r="B120">
            <v>3</v>
          </cell>
          <cell r="C120" t="str">
            <v>C</v>
          </cell>
        </row>
        <row r="121">
          <cell r="A121" t="str">
            <v>PSZElec</v>
          </cell>
          <cell r="B121">
            <v>4</v>
          </cell>
          <cell r="C121" t="str">
            <v>C</v>
          </cell>
        </row>
        <row r="122">
          <cell r="A122" t="str">
            <v>PVAVElec</v>
          </cell>
          <cell r="B122">
            <v>9</v>
          </cell>
          <cell r="C122" t="str">
            <v>C</v>
          </cell>
        </row>
        <row r="123">
          <cell r="A123" t="str">
            <v>SVAVElec</v>
          </cell>
          <cell r="B123">
            <v>10</v>
          </cell>
          <cell r="C123" t="str">
            <v>C</v>
          </cell>
        </row>
        <row r="124">
          <cell r="A124" t="str">
            <v>ElecHeat</v>
          </cell>
          <cell r="B124">
            <v>5</v>
          </cell>
          <cell r="C124" t="str">
            <v>H</v>
          </cell>
        </row>
        <row r="125">
          <cell r="A125" t="str">
            <v>GasFurn</v>
          </cell>
          <cell r="B125">
            <v>6</v>
          </cell>
          <cell r="C125" t="str">
            <v>H</v>
          </cell>
        </row>
        <row r="126">
          <cell r="A126" t="str">
            <v>DX/Other</v>
          </cell>
          <cell r="C126" t="str">
            <v>C</v>
          </cell>
        </row>
      </sheetData>
      <sheetData sheetId="5" refreshError="1">
        <row r="5">
          <cell r="B5" t="str">
            <v>PlcHldr</v>
          </cell>
          <cell r="C5" t="str">
            <v>w01</v>
          </cell>
          <cell r="D5" t="str">
            <v>w02</v>
          </cell>
          <cell r="E5" t="str">
            <v>w03</v>
          </cell>
          <cell r="F5" t="str">
            <v>w04</v>
          </cell>
          <cell r="G5" t="str">
            <v>w05</v>
          </cell>
          <cell r="H5" t="str">
            <v>w06</v>
          </cell>
          <cell r="I5" t="str">
            <v>w07</v>
          </cell>
          <cell r="J5" t="str">
            <v>w08</v>
          </cell>
          <cell r="K5" t="str">
            <v>w09</v>
          </cell>
          <cell r="L5" t="str">
            <v>w10</v>
          </cell>
          <cell r="M5" t="str">
            <v>w11</v>
          </cell>
          <cell r="N5" t="str">
            <v>w12</v>
          </cell>
          <cell r="O5" t="str">
            <v>w13</v>
          </cell>
          <cell r="P5" t="str">
            <v>w14</v>
          </cell>
          <cell r="Q5" t="str">
            <v>w15</v>
          </cell>
          <cell r="R5" t="str">
            <v>w16</v>
          </cell>
        </row>
        <row r="7">
          <cell r="B7" t="str">
            <v>Asm</v>
          </cell>
          <cell r="C7">
            <v>1</v>
          </cell>
          <cell r="D7">
            <v>1</v>
          </cell>
          <cell r="E7">
            <v>1</v>
          </cell>
          <cell r="F7">
            <v>1</v>
          </cell>
          <cell r="G7">
            <v>1</v>
          </cell>
          <cell r="H7">
            <v>1</v>
          </cell>
          <cell r="I7">
            <v>1</v>
          </cell>
          <cell r="J7">
            <v>1</v>
          </cell>
          <cell r="K7">
            <v>1</v>
          </cell>
          <cell r="L7">
            <v>1</v>
          </cell>
          <cell r="M7">
            <v>1</v>
          </cell>
          <cell r="N7">
            <v>1</v>
          </cell>
          <cell r="O7">
            <v>1</v>
          </cell>
          <cell r="P7">
            <v>1</v>
          </cell>
          <cell r="Q7">
            <v>1</v>
          </cell>
          <cell r="R7">
            <v>1</v>
          </cell>
        </row>
        <row r="8">
          <cell r="B8" t="str">
            <v>EPr</v>
          </cell>
          <cell r="C8">
            <v>1</v>
          </cell>
          <cell r="D8">
            <v>0</v>
          </cell>
          <cell r="E8">
            <v>0</v>
          </cell>
          <cell r="F8">
            <v>0</v>
          </cell>
          <cell r="G8">
            <v>1</v>
          </cell>
          <cell r="H8">
            <v>0</v>
          </cell>
          <cell r="I8">
            <v>1</v>
          </cell>
          <cell r="J8">
            <v>1</v>
          </cell>
          <cell r="K8">
            <v>0</v>
          </cell>
          <cell r="L8">
            <v>0</v>
          </cell>
          <cell r="M8">
            <v>0</v>
          </cell>
          <cell r="N8">
            <v>0</v>
          </cell>
          <cell r="O8">
            <v>0</v>
          </cell>
          <cell r="P8">
            <v>0</v>
          </cell>
          <cell r="Q8">
            <v>0</v>
          </cell>
          <cell r="R8">
            <v>0</v>
          </cell>
        </row>
        <row r="9">
          <cell r="B9" t="str">
            <v>ESe</v>
          </cell>
          <cell r="C9">
            <v>1</v>
          </cell>
          <cell r="D9">
            <v>0</v>
          </cell>
          <cell r="E9">
            <v>0</v>
          </cell>
          <cell r="F9">
            <v>0</v>
          </cell>
          <cell r="G9">
            <v>1</v>
          </cell>
          <cell r="H9">
            <v>0</v>
          </cell>
          <cell r="I9">
            <v>1</v>
          </cell>
          <cell r="J9">
            <v>1</v>
          </cell>
          <cell r="K9">
            <v>0</v>
          </cell>
          <cell r="L9">
            <v>0</v>
          </cell>
          <cell r="M9">
            <v>0</v>
          </cell>
          <cell r="N9">
            <v>0</v>
          </cell>
          <cell r="O9">
            <v>0</v>
          </cell>
          <cell r="P9">
            <v>0</v>
          </cell>
          <cell r="Q9">
            <v>0</v>
          </cell>
          <cell r="R9">
            <v>0</v>
          </cell>
        </row>
        <row r="10">
          <cell r="B10" t="str">
            <v>ECC</v>
          </cell>
          <cell r="C10">
            <v>1</v>
          </cell>
          <cell r="D10">
            <v>1</v>
          </cell>
          <cell r="E10">
            <v>1</v>
          </cell>
          <cell r="F10">
            <v>1</v>
          </cell>
          <cell r="G10">
            <v>1</v>
          </cell>
          <cell r="H10">
            <v>1</v>
          </cell>
          <cell r="I10">
            <v>1</v>
          </cell>
          <cell r="J10">
            <v>1</v>
          </cell>
          <cell r="K10">
            <v>1</v>
          </cell>
          <cell r="L10">
            <v>1</v>
          </cell>
          <cell r="M10">
            <v>1</v>
          </cell>
          <cell r="N10">
            <v>1</v>
          </cell>
          <cell r="O10">
            <v>0</v>
          </cell>
          <cell r="P10">
            <v>1</v>
          </cell>
          <cell r="Q10">
            <v>1</v>
          </cell>
          <cell r="R10">
            <v>1</v>
          </cell>
        </row>
        <row r="11">
          <cell r="B11" t="str">
            <v>EUn</v>
          </cell>
          <cell r="C11">
            <v>1</v>
          </cell>
          <cell r="D11">
            <v>1</v>
          </cell>
          <cell r="E11">
            <v>1</v>
          </cell>
          <cell r="F11">
            <v>1</v>
          </cell>
          <cell r="G11">
            <v>1</v>
          </cell>
          <cell r="H11">
            <v>1</v>
          </cell>
          <cell r="I11">
            <v>1</v>
          </cell>
          <cell r="J11">
            <v>1</v>
          </cell>
          <cell r="K11">
            <v>1</v>
          </cell>
          <cell r="L11">
            <v>1</v>
          </cell>
          <cell r="M11">
            <v>1</v>
          </cell>
          <cell r="N11">
            <v>1</v>
          </cell>
          <cell r="O11">
            <v>0</v>
          </cell>
          <cell r="P11">
            <v>1</v>
          </cell>
          <cell r="Q11">
            <v>1</v>
          </cell>
          <cell r="R11">
            <v>1</v>
          </cell>
        </row>
        <row r="12">
          <cell r="B12" t="str">
            <v>ERC</v>
          </cell>
          <cell r="C12">
            <v>1</v>
          </cell>
          <cell r="D12">
            <v>0</v>
          </cell>
          <cell r="E12">
            <v>0</v>
          </cell>
          <cell r="F12">
            <v>0</v>
          </cell>
          <cell r="G12">
            <v>1</v>
          </cell>
          <cell r="H12">
            <v>0</v>
          </cell>
          <cell r="I12">
            <v>1</v>
          </cell>
          <cell r="J12">
            <v>1</v>
          </cell>
          <cell r="K12">
            <v>0</v>
          </cell>
          <cell r="L12">
            <v>0</v>
          </cell>
          <cell r="M12">
            <v>0</v>
          </cell>
          <cell r="N12">
            <v>0</v>
          </cell>
          <cell r="O12">
            <v>0</v>
          </cell>
          <cell r="P12">
            <v>0</v>
          </cell>
          <cell r="Q12">
            <v>0</v>
          </cell>
          <cell r="R12">
            <v>0</v>
          </cell>
        </row>
        <row r="13">
          <cell r="B13" t="str">
            <v>Gro</v>
          </cell>
          <cell r="C13">
            <v>1</v>
          </cell>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row>
        <row r="14">
          <cell r="B14" t="str">
            <v>Hsp</v>
          </cell>
          <cell r="C14">
            <v>1</v>
          </cell>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row>
        <row r="15">
          <cell r="B15" t="str">
            <v>Nrs</v>
          </cell>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row>
        <row r="16">
          <cell r="B16" t="str">
            <v>Htl</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row>
        <row r="17">
          <cell r="B17" t="str">
            <v>Mtl</v>
          </cell>
          <cell r="C17">
            <v>1</v>
          </cell>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row>
        <row r="18">
          <cell r="B18" t="str">
            <v>MBT</v>
          </cell>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row>
        <row r="19">
          <cell r="B19" t="str">
            <v>MLI</v>
          </cell>
          <cell r="C19">
            <v>1</v>
          </cell>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row>
        <row r="20">
          <cell r="B20" t="str">
            <v>OfL</v>
          </cell>
          <cell r="C20">
            <v>1</v>
          </cell>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row>
        <row r="21">
          <cell r="B21" t="str">
            <v>OfS</v>
          </cell>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row>
        <row r="22">
          <cell r="B22" t="str">
            <v>RSD</v>
          </cell>
          <cell r="C22">
            <v>1</v>
          </cell>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row>
        <row r="23">
          <cell r="B23" t="str">
            <v>RFF</v>
          </cell>
          <cell r="C23">
            <v>1</v>
          </cell>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row>
        <row r="24">
          <cell r="B24" t="str">
            <v>Rt3</v>
          </cell>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row>
        <row r="25">
          <cell r="B25" t="str">
            <v>RtL</v>
          </cell>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row>
        <row r="26">
          <cell r="B26" t="str">
            <v>RtS</v>
          </cell>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row>
        <row r="27">
          <cell r="B27" t="str">
            <v>SCn</v>
          </cell>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row>
        <row r="28">
          <cell r="B28" t="str">
            <v>SUn</v>
          </cell>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row>
        <row r="29">
          <cell r="B29" t="str">
            <v>WRf</v>
          </cell>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 val="Lists"/>
      <sheetName val="hvac tier 2 incentive table"/>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 val="List"/>
      <sheetName val="Lookups"/>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Y2" t="str">
            <v>Yes</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Y3" t="str">
            <v>No</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Inspection Disclaimers"/>
      <sheetName val="Diagnostic Test Form"/>
      <sheetName val="Change Order Form"/>
      <sheetName val="Home Efficiency - PY21 Pricing"/>
      <sheetName val="Off Workscope Costs"/>
      <sheetName val="Measures"/>
      <sheetName val="Revision Tracking"/>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Lists"/>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AF List"/>
      <sheetName val="Reference"/>
    </sheetNames>
    <sheetDataSet>
      <sheetData sheetId="0"/>
      <sheetData sheetId="1" refreshError="1"/>
      <sheetData sheetId="2" refreshError="1"/>
      <sheetData sheetId="3" refreshError="1"/>
      <sheetData sheetId="4" refreshError="1"/>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Ancillary Costs"/>
      <sheetName val="Inspection Disclaimers"/>
      <sheetName val="Diagnostic Test Form"/>
      <sheetName val="No Heat Form"/>
      <sheetName val="Change Order Form"/>
      <sheetName val="Measures"/>
      <sheetName val="Home Efficiency - PY21 Pricing"/>
      <sheetName val="Revision Tracking"/>
      <sheetName val="Lists"/>
      <sheetName val="Reference"/>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Froio, Zach" id="{23C54438-DFAD-4E04-B748-607D4C236273}" userId="S::zfroio@ameresco.com::ef5ccb52-72b8-4928-910a-25b3a13ee2a8" providerId="AD"/>
  <person displayName="DeSignor, Caryn [US-US]" id="{5CB4BC18-EEA6-4226-B6A5-51D2AC7E73C5}" userId="S::designorc@leidos.com::0d823443-72e4-4b92-908c-826482db680c" providerId="AD"/>
  <person displayName="Dylan Royalty" id="{47798CE7-2A44-4491-8BFE-43490782CD90}" userId="S::droyalty@scottmadden.com::04ac8b8f-a893-48c5-a684-335091891c6c" providerId="AD"/>
  <person displayName="Erica Tillotson" id="{0B5C6C69-9B14-4B5C-8156-D10FCBAA7427}" userId="S::ETillotson@scottmadden.com::f226c056-2670-472b-ab95-64570ff47ffb" providerId="AD"/>
  <person displayName="Erica Tillotson" id="{3300A746-D312-44EA-87E5-8DB840B88844}" userId="S::etillotson@scottmadden.com::f226c056-2670-472b-ab95-64570ff47ff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2-10-31T13:44:22.92" personId="{23C54438-DFAD-4E04-B748-607D4C236273}" id="{7D9B61C9-8112-4008-BCA5-D0832275B93C}">
    <text>EIA data from Nov 2021 to March 2022 for Illinois was an average of $2.28 (https://www.eia.gov/dnav/pet/PET_PRI_WFR_DCUS_SIL_W.htm)</text>
  </threadedComment>
  <threadedComment ref="G11" dT="2025-04-21T19:08:04.36" personId="{5CB4BC18-EEA6-4226-B6A5-51D2AC7E73C5}" id="{1464E584-42B9-4D85-8D72-8714D703A5C1}" parentId="{7D9B61C9-8112-4008-BCA5-D0832275B93C}">
    <text>4/21/25 Electricity/Natural Gas/Propane/Fuel Oil rates updated CD</text>
  </threadedComment>
  <threadedComment ref="G12" dT="2022-10-31T13:44:22.92" personId="{23C54438-DFAD-4E04-B748-607D4C236273}" id="{7E19FCB0-1223-4BB4-8758-94004D93B00F}">
    <text>Annual Energy Outlook 2022, Table 3. Energy Prices by Sector and Source, Reference Case, East North Central, Residential, 2022 Nominal $/MMBtu ($17.297)</text>
  </threadedComment>
</ThreadedComments>
</file>

<file path=xl/threadedComments/threadedComment2.xml><?xml version="1.0" encoding="utf-8"?>
<ThreadedComments xmlns="http://schemas.microsoft.com/office/spreadsheetml/2018/threadedcomments" xmlns:x="http://schemas.openxmlformats.org/spreadsheetml/2006/main">
  <threadedComment ref="F119" dT="2024-02-14T20:57:19.93" personId="{47798CE7-2A44-4491-8BFE-43490782CD90}" id="{FBB7928C-DE10-4D4F-A12C-8BC2792F9318}">
    <text>Updated from IL TRM v12</text>
  </threadedComment>
  <threadedComment ref="F194" dT="2024-09-23T13:16:59.40" personId="{47798CE7-2A44-4491-8BFE-43490782CD90}" id="{2B29E955-605D-4B5E-93CB-B1D104D5ED99}">
    <text>Updated to rely on UEF entered on Project Details. If blank, assumes 3.5 default value.</text>
  </threadedComment>
  <threadedComment ref="F204" dT="2024-02-13T18:12:10.38" personId="{47798CE7-2A44-4491-8BFE-43490782CD90}" id="{0FB1F3C5-B119-4BAC-9F41-8025B930AA9B}">
    <text>Updated from IL TRM v12</text>
  </threadedComment>
  <threadedComment ref="F208" dT="2024-02-14T20:25:58.75" personId="{47798CE7-2A44-4491-8BFE-43490782CD90}" id="{CE31310A-B988-4A4C-ADAC-1C3AB96EF956}">
    <text>Updated from IL TRM v12</text>
  </threadedComment>
  <threadedComment ref="F208" dT="2024-11-18T14:51:54.34" personId="{5CB4BC18-EEA6-4226-B6A5-51D2AC7E73C5}" id="{750B5352-7560-46F7-BB64-40493D98E66C}" parentId="{CE31310A-B988-4A4C-ADAC-1C3AB96EF956}">
    <text>Updated from IL TRM v13</text>
  </threadedComment>
  <threadedComment ref="F216" dT="2024-09-23T16:12:00.60" personId="{47798CE7-2A44-4491-8BFE-43490782CD90}" id="{BB6227B9-56BF-4F71-871A-5E97D1B08A43}">
    <text>Updated to rely on capacity entered on Project Details.</text>
  </threadedComment>
  <threadedComment ref="F219" dT="2024-11-18T14:52:13.47" personId="{5CB4BC18-EEA6-4226-B6A5-51D2AC7E73C5}" id="{1323A354-54CA-4144-AC16-85A88CF96619}">
    <text>Updated to TRM v13.0</text>
  </threadedComment>
  <threadedComment ref="G236" dT="2022-11-03T14:33:16.87" personId="{23C54438-DFAD-4E04-B748-607D4C236273}" id="{707A3865-B10C-45AC-ADCC-93E7439613AA}">
    <text>IL TRM v11, Residential Heat Pump DHW Winter Peak and Winter Off-Peak Loadshapes.</text>
  </threadedComment>
  <threadedComment ref="G237" dT="2022-11-03T14:33:16.87" personId="{23C54438-DFAD-4E04-B748-607D4C236273}" id="{8D599A5F-E2DB-427E-91DD-C56B178FF387}">
    <text>IL TRM v11, Residential Heat Pump DHW Summer Peak and Winter Off-Peak Loadshapes.</text>
  </threadedComment>
  <threadedComment ref="F251" dT="2024-02-14T13:44:29.97" personId="{47798CE7-2A44-4491-8BFE-43490782CD90}" id="{0A6C9089-21BC-4120-B368-2A76068E94A0}">
    <text>Updated from IL TRM v12</text>
  </threadedComment>
  <threadedComment ref="F262" dT="2024-02-14T13:43:10.82" personId="{47798CE7-2A44-4491-8BFE-43490782CD90}" id="{661E0E9F-2C39-49D4-9D16-94D17552052B}">
    <text>Updated from IL TRM v12</text>
  </threadedComment>
  <threadedComment ref="F324" dT="2024-02-15T13:00:39.89" personId="{47798CE7-2A44-4491-8BFE-43490782CD90}" id="{7E29F788-115D-4806-8979-1FC5DC484B92}">
    <text>Updated from IL TRM v12</text>
  </threadedComment>
  <threadedComment ref="F331" dT="2024-01-05T19:05:58.10" personId="{0B5C6C69-9B14-4B5C-8156-D10FCBAA7427}" id="{87E85358-4030-4E8B-A316-4FDDCA6646B8}">
    <text>Updated IL TRM v12</text>
  </threadedComment>
  <threadedComment ref="F332" dT="2024-02-15T13:13:21.93" personId="{47798CE7-2A44-4491-8BFE-43490782CD90}" id="{E6D6C51A-FAB1-464D-A4D1-AEEBCCE9E1F4}">
    <text>Updated from IL TRM v12</text>
  </threadedComment>
  <threadedComment ref="F341" dT="2024-02-15T13:00:39.89" personId="{47798CE7-2A44-4491-8BFE-43490782CD90}" id="{E81AB419-34C2-416D-8C0E-3B5840BB4900}">
    <text>Updated from IL TRM v12</text>
  </threadedComment>
  <threadedComment ref="F351" dT="2024-01-05T19:08:01.29" personId="{0B5C6C69-9B14-4B5C-8156-D10FCBAA7427}" id="{8FEC3668-CBCB-415D-AA6B-76CF11069E46}">
    <text>Updated IL TRM v12</text>
  </threadedComment>
  <threadedComment ref="F352" dT="2024-02-15T13:13:21.93" personId="{47798CE7-2A44-4491-8BFE-43490782CD90}" id="{3D5AD969-5AD2-4717-BEE2-60F608D8F39F}">
    <text>Updated from IL TRM v12</text>
  </threadedComment>
  <threadedComment ref="F355" dT="2024-02-15T13:00:39.89" personId="{47798CE7-2A44-4491-8BFE-43490782CD90}" id="{40E98D7F-6B57-49E7-9486-89F1F6E5599B}">
    <text>Updated from IL TRM v12</text>
  </threadedComment>
  <threadedComment ref="F364" dT="2024-02-15T13:00:39.89" personId="{47798CE7-2A44-4491-8BFE-43490782CD90}" id="{B2430EB3-C39D-49D8-B995-88F5253390F1}">
    <text>Updated from IL TRM v12</text>
  </threadedComment>
  <threadedComment ref="F370" dT="2024-02-15T13:13:21.93" personId="{47798CE7-2A44-4491-8BFE-43490782CD90}" id="{91627B46-5479-46BC-930A-0E1D3F778733}">
    <text>Updated from IL TRM v12</text>
  </threadedComment>
  <threadedComment ref="F394" dT="2024-02-14T00:02:06.26" personId="{47798CE7-2A44-4491-8BFE-43490782CD90}" id="{A39332D2-F20E-4F2C-BF30-D4969AE79C79}">
    <text>Updated from IL TRM v12</text>
  </threadedComment>
  <threadedComment ref="F399" dT="2024-02-14T00:04:13.35" personId="{47798CE7-2A44-4491-8BFE-43490782CD90}" id="{4592D327-4FD5-463E-B154-2AD729146E2A}">
    <text>Updated from IL TRM v12</text>
  </threadedComment>
  <threadedComment ref="F409" dT="2024-02-14T00:02:06.26" personId="{47798CE7-2A44-4491-8BFE-43490782CD90}" id="{43E3516F-5E3B-4FAC-8560-1666CCC49F10}">
    <text>Updated from IL TRM v12</text>
  </threadedComment>
  <threadedComment ref="F413" dT="2024-02-14T00:13:29.08" personId="{47798CE7-2A44-4491-8BFE-43490782CD90}" id="{B323DB68-1110-4D0D-AB69-1338C33A856E}">
    <text>Updated from IL TRM v12</text>
  </threadedComment>
  <threadedComment ref="F419" dT="2024-02-14T00:17:04.02" personId="{47798CE7-2A44-4491-8BFE-43490782CD90}" id="{86BF7CF9-A8BF-468B-92DF-E4C2844BCEBA}">
    <text>Updated from IL TRM v12</text>
  </threadedComment>
  <threadedComment ref="F423" dT="2024-02-14T00:02:06.26" personId="{47798CE7-2A44-4491-8BFE-43490782CD90}" id="{CA193C4F-40C7-4FFD-873E-0CE6E70166CD}">
    <text>Updated from IL TRM v12</text>
  </threadedComment>
  <threadedComment ref="F432" dT="2024-02-14T00:02:06.26" personId="{47798CE7-2A44-4491-8BFE-43490782CD90}" id="{DDABDCA6-3CB7-462A-BA26-AB3E0F0221EC}">
    <text>Updated from IL TRM v12</text>
  </threadedComment>
  <threadedComment ref="F436" dT="2024-02-14T00:21:52.27" personId="{47798CE7-2A44-4491-8BFE-43490782CD90}" id="{0914BD10-61CF-475A-BF8F-BABA1886ACB0}">
    <text>Updated from IL TRM v12</text>
  </threadedComment>
  <threadedComment ref="F448" dT="2024-02-13T23:45:45.46" personId="{47798CE7-2A44-4491-8BFE-43490782CD90}" id="{3923FDF3-FB80-4F75-A4C9-16615D397A13}">
    <text>Updated from IL TRM v12</text>
  </threadedComment>
  <threadedComment ref="F462" dT="2024-02-14T00:02:06.26" personId="{47798CE7-2A44-4491-8BFE-43490782CD90}" id="{871707CC-F194-4ABE-AC2E-F9F82C6D4552}">
    <text>Updated from IL TRM v12</text>
  </threadedComment>
  <threadedComment ref="F467" dT="2024-02-14T00:04:13.35" personId="{47798CE7-2A44-4491-8BFE-43490782CD90}" id="{A77FE4A3-AE01-4B07-AAB8-E70EE96B5ED0}">
    <text>Updated from IL TRM v12</text>
  </threadedComment>
  <threadedComment ref="F477" dT="2024-02-14T00:02:06.26" personId="{47798CE7-2A44-4491-8BFE-43490782CD90}" id="{4CE2FE4C-E364-44CB-8144-D76B798CAC1A}">
    <text>Updated from IL TRM v12</text>
  </threadedComment>
  <threadedComment ref="F481" dT="2024-02-14T00:13:29.08" personId="{47798CE7-2A44-4491-8BFE-43490782CD90}" id="{D8B5293C-399C-4965-95D1-96A50AEF9FCF}">
    <text>Updated from IL TRM v12</text>
  </threadedComment>
  <threadedComment ref="F487" dT="2024-02-14T00:17:04.02" personId="{47798CE7-2A44-4491-8BFE-43490782CD90}" id="{3E2605D6-B3FD-44F2-9921-94FA27E1A40C}">
    <text>Updated from IL TRM v12</text>
  </threadedComment>
  <threadedComment ref="F491" dT="2024-02-14T00:02:06.26" personId="{47798CE7-2A44-4491-8BFE-43490782CD90}" id="{19CE8DBF-E64D-4964-9E81-FD73BAD670CD}">
    <text>Updated from IL TRM v12</text>
  </threadedComment>
  <threadedComment ref="F500" dT="2024-02-14T00:02:06.26" personId="{47798CE7-2A44-4491-8BFE-43490782CD90}" id="{3673746C-167B-4CD7-ADF7-CF792440A5D2}">
    <text>Updated from IL TRM v12</text>
  </threadedComment>
  <threadedComment ref="F504" dT="2024-02-14T00:21:52.27" personId="{47798CE7-2A44-4491-8BFE-43490782CD90}" id="{D7DCBA0F-0C31-4DA5-AD1D-7164EA465A9E}">
    <text>Updated from IL TRM v12</text>
  </threadedComment>
  <threadedComment ref="F516" dT="2024-02-13T23:45:45.46" personId="{47798CE7-2A44-4491-8BFE-43490782CD90}" id="{8C8CFD1B-7814-413C-B7AA-54952B35B036}">
    <text>Updated from IL TRM v12</text>
  </threadedComment>
  <threadedComment ref="F530" dT="2024-02-14T00:37:44.04" personId="{47798CE7-2A44-4491-8BFE-43490782CD90}" id="{AF69642D-C95D-48A5-AA44-132FF6B72B48}">
    <text>Updated from IL TRM v12</text>
  </threadedComment>
  <threadedComment ref="F535" dT="2024-02-14T00:38:57.12" personId="{47798CE7-2A44-4491-8BFE-43490782CD90}" id="{AD64C083-F338-4C71-AEE7-867F7EE463A0}">
    <text>Updated from IL TRM v12</text>
  </threadedComment>
  <threadedComment ref="F544" dT="2024-02-14T00:37:44.04" personId="{47798CE7-2A44-4491-8BFE-43490782CD90}" id="{EEAC5351-579D-4FD3-A1D9-752BBEDAC112}">
    <text>Updated from IL TRM v12</text>
  </threadedComment>
  <threadedComment ref="F548" dT="2024-02-14T00:38:57.12" personId="{47798CE7-2A44-4491-8BFE-43490782CD90}" id="{281957D6-8736-4726-8D7A-514240365C09}">
    <text>Updated from IL TRM v12</text>
  </threadedComment>
  <threadedComment ref="F558" dT="2024-02-14T00:37:44.04" personId="{47798CE7-2A44-4491-8BFE-43490782CD90}" id="{AF69C6C3-DCAE-4397-B8FE-7C1DAFA3DD3F}">
    <text>Updated from IL TRM v12</text>
  </threadedComment>
  <threadedComment ref="F567" dT="2024-02-14T00:37:44.04" personId="{47798CE7-2A44-4491-8BFE-43490782CD90}" id="{7F974604-6562-453C-956B-BA3FD9162208}">
    <text>Updated from IL TRM v12</text>
  </threadedComment>
  <threadedComment ref="F571" dT="2024-02-14T00:38:57.12" personId="{47798CE7-2A44-4491-8BFE-43490782CD90}" id="{5C78E708-7685-4611-9F7E-A3AA1474168B}">
    <text>Updated from IL TRM v12</text>
  </threadedComment>
  <threadedComment ref="F582" dT="2024-02-14T00:34:36.99" personId="{47798CE7-2A44-4491-8BFE-43490782CD90}" id="{3FBA8B60-5F3C-4210-8249-C6AFE2A413CB}">
    <text>Updated from IL TRM v12</text>
  </threadedComment>
  <threadedComment ref="F596" dT="2024-02-14T00:37:44.04" personId="{47798CE7-2A44-4491-8BFE-43490782CD90}" id="{8443F264-8376-4FF9-9E11-356B528AB15C}">
    <text>Updated from IL TRM v12</text>
  </threadedComment>
  <threadedComment ref="F601" dT="2024-02-14T00:38:57.12" personId="{47798CE7-2A44-4491-8BFE-43490782CD90}" id="{899FF9B0-8367-42E4-9EBB-7E9F8E10AF03}">
    <text>Updated from IL TRM v12</text>
  </threadedComment>
  <threadedComment ref="F610" dT="2024-02-14T00:37:44.04" personId="{47798CE7-2A44-4491-8BFE-43490782CD90}" id="{4178C0E8-1F86-4AF7-B066-60963545A746}">
    <text>Updated from IL TRM v12</text>
  </threadedComment>
  <threadedComment ref="F614" dT="2024-02-14T00:38:57.12" personId="{47798CE7-2A44-4491-8BFE-43490782CD90}" id="{30A7F9D4-CD9C-4C7B-9B3B-1B5D4792385E}">
    <text>Updated from IL TRM v12</text>
  </threadedComment>
  <threadedComment ref="F624" dT="2024-02-14T00:37:44.04" personId="{47798CE7-2A44-4491-8BFE-43490782CD90}" id="{96BAA5C6-2C28-4171-8A1E-EA7EB1A59BBC}">
    <text>Updated from IL TRM v12</text>
  </threadedComment>
  <threadedComment ref="F633" dT="2024-02-14T00:37:44.04" personId="{47798CE7-2A44-4491-8BFE-43490782CD90}" id="{B2A61150-D584-4D64-8086-96AF0DC9A45A}">
    <text>Updated from IL TRM v12</text>
  </threadedComment>
  <threadedComment ref="F637" dT="2024-02-14T00:38:57.12" personId="{47798CE7-2A44-4491-8BFE-43490782CD90}" id="{13A9FF20-9D01-410B-8F98-73759208FAC9}">
    <text>Updated from IL TRM v12</text>
  </threadedComment>
  <threadedComment ref="F648" dT="2024-02-14T00:34:36.99" personId="{47798CE7-2A44-4491-8BFE-43490782CD90}" id="{206DEFE1-2C3B-4478-9ED9-08F629817C1B}">
    <text>Updated from IL TRM v12</text>
  </threadedComment>
  <threadedComment ref="F662" dT="2024-02-14T00:37:44.04" personId="{47798CE7-2A44-4491-8BFE-43490782CD90}" id="{40D0CB63-104E-499B-8710-21974CF85B01}">
    <text>Updated from IL TRM v12</text>
  </threadedComment>
  <threadedComment ref="F665" dT="2023-12-18T21:44:55.58" personId="{3300A746-D312-44EA-87E5-8DB840B88844}" id="{7F81EB8A-CA17-4815-B77B-1EF2CA4AA59A}">
    <text>Updated IL TRM v12</text>
  </threadedComment>
  <threadedComment ref="F667" dT="2023-12-18T21:44:13.52" personId="{3300A746-D312-44EA-87E5-8DB840B88844}" id="{569ADCD9-0EC5-4777-9626-5F46EE68FE54}">
    <text>Updated IL TRM v12</text>
  </threadedComment>
  <threadedComment ref="F676" dT="2024-02-14T00:37:44.04" personId="{47798CE7-2A44-4491-8BFE-43490782CD90}" id="{DD2D20B7-7C82-4B64-A82D-B3ED43DA71ED}">
    <text>Updated from IL TRM v12</text>
  </threadedComment>
  <threadedComment ref="F680" dT="2024-01-02T15:11:16.88" personId="{0B5C6C69-9B14-4B5C-8156-D10FCBAA7427}" id="{9884203B-5233-43F4-A372-2E9DAE0BEDEF}">
    <text>Updated IL v12</text>
  </threadedComment>
  <threadedComment ref="F690" dT="2024-02-14T00:37:44.04" personId="{47798CE7-2A44-4491-8BFE-43490782CD90}" id="{EF66B99F-DBF1-4245-B155-3B1629CED777}">
    <text>Updated from IL TRM v12</text>
  </threadedComment>
  <threadedComment ref="F699" dT="2024-02-14T00:37:44.04" personId="{47798CE7-2A44-4491-8BFE-43490782CD90}" id="{0BED2153-5AAB-4253-BE84-51296910C1CD}">
    <text>Updated from IL TRM v12</text>
  </threadedComment>
  <threadedComment ref="F714" dT="2023-12-18T21:40:00.68" personId="{3300A746-D312-44EA-87E5-8DB840B88844}" id="{9070CA27-4523-4A21-96D1-F0E4B9E0AD97}">
    <text>Updated IL TRM v12</text>
  </threadedComment>
  <threadedComment ref="F727" dT="2024-02-14T00:37:44.04" personId="{47798CE7-2A44-4491-8BFE-43490782CD90}" id="{9805858E-154E-4560-9B12-761E4E4ACA50}">
    <text>Updated from IL TRM v12</text>
  </threadedComment>
  <threadedComment ref="F730" dT="2024-01-05T19:33:42.00" personId="{0B5C6C69-9B14-4B5C-8156-D10FCBAA7427}" id="{D9D8EDF2-72F4-4A18-851C-7E9367F6499A}">
    <text>Updated IL TRM v12</text>
  </threadedComment>
  <threadedComment ref="F741" dT="2024-02-14T00:37:44.04" personId="{47798CE7-2A44-4491-8BFE-43490782CD90}" id="{E02FEEF7-3D4C-485A-B272-5D4283C2C858}">
    <text>Updated from IL TRM v12</text>
  </threadedComment>
  <threadedComment ref="F743" dT="2024-01-05T19:35:07.62" personId="{0B5C6C69-9B14-4B5C-8156-D10FCBAA7427}" id="{BDEB39A0-1185-4831-83DC-9BFEA39BC76C}">
    <text>Updated IL TRM v12</text>
  </threadedComment>
  <threadedComment ref="F756" dT="2024-02-14T00:37:44.04" personId="{47798CE7-2A44-4491-8BFE-43490782CD90}" id="{7C234955-84C8-4B95-81F0-6A00D56C6855}">
    <text>Updated from IL TRM v12</text>
  </threadedComment>
  <threadedComment ref="F764" dT="2024-02-14T00:37:44.04" personId="{47798CE7-2A44-4491-8BFE-43490782CD90}" id="{91C9FED0-D7E0-46A6-9F0A-B5FF8505DA93}">
    <text>Updated from IL TRM v12</text>
  </threadedComment>
  <threadedComment ref="F780" dT="2024-01-05T19:31:00.31" personId="{0B5C6C69-9B14-4B5C-8156-D10FCBAA7427}" id="{42E91734-090A-4736-9F2E-1505982EFA26}">
    <text>Updated IL TRM v12</text>
  </threadedComment>
  <threadedComment ref="F796" dT="2024-02-14T00:37:44.04" personId="{47798CE7-2A44-4491-8BFE-43490782CD90}" id="{7B2CEA82-A2CB-487C-BD1B-A5D648C9DAC9}">
    <text>Updated from IL TRM v12</text>
  </threadedComment>
  <threadedComment ref="F801" dT="2023-12-18T20:42:54.76" personId="{3300A746-D312-44EA-87E5-8DB840B88844}" id="{BF8D0C48-D9FF-4B31-968B-1C67116034A3}">
    <text>Updated IL TRM v12</text>
  </threadedComment>
  <threadedComment ref="F819" dT="2024-02-14T00:37:44.04" personId="{47798CE7-2A44-4491-8BFE-43490782CD90}" id="{6D0D3FA6-B988-4242-B664-D3211ADAFE11}">
    <text>Updated from IL TRM v12</text>
  </threadedComment>
  <threadedComment ref="F833" dT="2024-02-14T00:37:44.04" personId="{47798CE7-2A44-4491-8BFE-43490782CD90}" id="{447B0D78-1C5D-4D26-AF7E-31982A2E8650}">
    <text>Updated from IL TRM v12</text>
  </threadedComment>
  <threadedComment ref="F851" dT="2024-02-14T00:37:44.04" personId="{47798CE7-2A44-4491-8BFE-43490782CD90}" id="{4BD1EB6F-E1DE-433D-9780-2408D19C14BF}">
    <text>Updated from IL TRM v12</text>
  </threadedComment>
  <threadedComment ref="F855" dT="2023-12-18T20:58:29.68" personId="{3300A746-D312-44EA-87E5-8DB840B88844}" id="{230BE000-CCEA-4C01-9193-7B5DEA86319F}">
    <text>Updated IL TRM v12</text>
  </threadedComment>
  <threadedComment ref="F866" dT="2023-12-18T20:31:09.32" personId="{3300A746-D312-44EA-87E5-8DB840B88844}" id="{9CF6DB39-F504-43F4-8582-F9849F2F2579}">
    <text>Updated IL TRM v12</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10-31T13:48:44.31" personId="{23C54438-DFAD-4E04-B748-607D4C236273}" id="{7A9F45F6-B63A-4B53-8554-D7D616AAFA45}">
    <text>https://www.eia.gov/energyexplained/units-and-calculators/british-thermal-units.php</text>
  </threadedComment>
  <threadedComment ref="D15" dT="2022-10-31T13:49:21.47" personId="{23C54438-DFAD-4E04-B748-607D4C236273}" id="{88319AE6-9DE3-4A81-992C-BE1DE66D3136}">
    <text>https://www.eia.gov/environment/emissions/co2_vol_mass.php</text>
  </threadedComment>
  <threadedComment ref="D16" dT="2022-10-31T13:49:21.47" personId="{23C54438-DFAD-4E04-B748-607D4C236273}" id="{0C0446AD-718A-4E43-BCCE-1DA601939764}">
    <text>https://www.eia.gov/environment/emissions/co2_vol_mass.php</text>
  </threadedComment>
  <threadedComment ref="C17" dT="2022-10-31T13:48:51.26" personId="{23C54438-DFAD-4E04-B748-607D4C236273}" id="{30A5F8E8-078C-4B6F-943D-F71B9D5F209E}">
    <text>https://www.eia.gov/energyexplained/units-and-calculators/british-thermal-units.php</text>
  </threadedComment>
  <threadedComment ref="D17" dT="2022-10-31T13:49:21.47" personId="{23C54438-DFAD-4E04-B748-607D4C236273}" id="{86185BF7-A177-4ABD-B407-78B68A4C540A}">
    <text>https://www.eia.gov/environment/emissions/co2_vol_mass.php</text>
  </threadedComment>
  <threadedComment ref="D18" dT="2022-10-31T13:57:21.94" personId="{23C54438-DFAD-4E04-B748-607D4C236273}" id="{8E890AF7-74F8-4176-9672-4B89AB6EEEBE}">
    <text>AIC Emissions Factor Forecast, 2022.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nergystar.gov/productfinder/product/certified-water-heaters/?formId=b1996c2c-a28a-44cc-9017-d8a55ca1b0e7&amp;scrollTo=600&amp;search_text=&amp;fuel_filter=&amp;type2_filter=Gas+Storage&amp;brand_name_isopen=0&amp;markets_filter=United+States&amp;zip_code_filter=&amp;product_types=Select+a+Product+Category&amp;sort_by=uniform_energy_factor_uef&amp;sort_direction=desc&amp;currentZipCode=20879&amp;page_number=0&amp;lastpage=0" TargetMode="External"/><Relationship Id="rId13" Type="http://schemas.openxmlformats.org/officeDocument/2006/relationships/printerSettings" Target="../printerSettings/printerSettings1.bin"/><Relationship Id="rId3" Type="http://schemas.openxmlformats.org/officeDocument/2006/relationships/hyperlink" Target="https://www.energystar.gov/productfinder/product/certified-room-air-conditioners/results" TargetMode="External"/><Relationship Id="rId7" Type="http://schemas.openxmlformats.org/officeDocument/2006/relationships/hyperlink" Target="https://www.energystar.gov/productfinder/product/certified-water-heaters/?formId=35512-95-41-3-73448111&amp;scrollTo=300&amp;search_text=&amp;fuel_filter=&amp;type2_filter=120+Volt+Integrated+Electric+Heat+Pump&amp;brand_name_isopen=0&amp;markets_filter=United+States&amp;zip_code_filter=&amp;product_types=Select+a+Product+Category&amp;sort_by=brand_name&amp;sort_direction=asc&amp;currentZipCode=20190&amp;page_number=0&amp;lastpage=0" TargetMode="External"/><Relationship Id="rId12" Type="http://schemas.openxmlformats.org/officeDocument/2006/relationships/hyperlink" Target="https://amerenillinoissavings.com/ally/existing-program-allies/residential-program-ally-resource-page/" TargetMode="External"/><Relationship Id="rId2" Type="http://schemas.openxmlformats.org/officeDocument/2006/relationships/hyperlink" Target="https://www.energystar.gov/most-efficient/me-certified-ventilating-fans/results?formId=33bb60e8-bccf-4108-b826-77cd1a087bd5&amp;scrollTo=300&amp;search_text=&amp;low_price=&amp;high_price=&amp;unit_type_filter=&amp;is_most_efficient_filter=Most+Efficient&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6"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11" Type="http://schemas.openxmlformats.org/officeDocument/2006/relationships/hyperlink" Target="https://www.energystar.gov/productfinder/product/certified-gas-water-heaters/results" TargetMode="External"/><Relationship Id="rId5" Type="http://schemas.openxmlformats.org/officeDocument/2006/relationships/hyperlink" Target="https://www.energystar.gov/productfinder/" TargetMode="External"/><Relationship Id="rId10" Type="http://schemas.openxmlformats.org/officeDocument/2006/relationships/hyperlink" Target="https://www.energystar.gov/productfinder/product/certified-connected-thermostats/results" TargetMode="External"/><Relationship Id="rId4" Type="http://schemas.openxmlformats.org/officeDocument/2006/relationships/hyperlink" Target="https://amerenillinoissavings.com/wp-content/uploads/2024/11/py18-hep-duct-sealing-work-specification.pdf" TargetMode="External"/><Relationship Id="rId9" Type="http://schemas.openxmlformats.org/officeDocument/2006/relationships/hyperlink" Target="https://www.energystar.gov/productfinder/product/certified-ventilating-fans/results?formId=33608--4108-826-7710875&amp;scrollTo=300&amp;search_text=&amp;low_price=&amp;high_price=&amp;unit_type_filter=&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 Id="rId4" Type="http://schemas.microsoft.com/office/2017/10/relationships/threadedComment" Target="../threadedComments/threadedComment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ResidentialEEApplications@ameren.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39B7-E668-4F7C-B4D5-B03BBD832846}">
  <sheetPr>
    <tabColor rgb="FF92D050"/>
  </sheetPr>
  <dimension ref="A1:AO80"/>
  <sheetViews>
    <sheetView tabSelected="1" zoomScale="115" zoomScaleNormal="115" workbookViewId="0">
      <selection activeCell="B55" sqref="B55:S55"/>
    </sheetView>
  </sheetViews>
  <sheetFormatPr defaultRowHeight="15" x14ac:dyDescent="0.25"/>
  <cols>
    <col min="1" max="42" width="2.7109375" customWidth="1"/>
  </cols>
  <sheetData>
    <row r="1" spans="1:41" ht="18" customHeight="1" x14ac:dyDescent="0.25">
      <c r="A1" s="4"/>
      <c r="B1" s="158" t="s">
        <v>491</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8" customHeight="1" x14ac:dyDescent="0.25">
      <c r="A2" s="4"/>
      <c r="B2" s="241" t="s">
        <v>866</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4"/>
      <c r="AI2" s="4"/>
      <c r="AJ2" s="4"/>
      <c r="AK2" s="4"/>
      <c r="AL2" s="4"/>
      <c r="AM2" s="4"/>
      <c r="AN2" s="4"/>
      <c r="AO2" s="4"/>
    </row>
    <row r="3" spans="1:41" ht="18" customHeight="1" x14ac:dyDescent="0.25">
      <c r="A3" s="4"/>
      <c r="B3" s="241"/>
      <c r="C3" s="325" t="s">
        <v>888</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4"/>
      <c r="AI3" s="4"/>
      <c r="AJ3" s="4"/>
      <c r="AK3" s="4"/>
      <c r="AL3" s="4"/>
      <c r="AM3" s="4"/>
      <c r="AN3" s="4"/>
      <c r="AO3" s="4"/>
    </row>
    <row r="4" spans="1:41" ht="18" customHeight="1" x14ac:dyDescent="0.25">
      <c r="A4" s="4"/>
      <c r="B4" s="241"/>
      <c r="C4" s="241" t="s">
        <v>864</v>
      </c>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4"/>
      <c r="AI4" s="4"/>
      <c r="AJ4" s="4"/>
      <c r="AK4" s="4"/>
      <c r="AL4" s="4"/>
      <c r="AM4" s="4"/>
      <c r="AN4" s="4"/>
      <c r="AO4" s="4"/>
    </row>
    <row r="5" spans="1:41" ht="18" customHeight="1" x14ac:dyDescent="0.25">
      <c r="A5" s="4"/>
      <c r="B5" s="241"/>
      <c r="C5" s="241" t="s">
        <v>865</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4"/>
      <c r="AI5" s="4"/>
      <c r="AJ5" s="4"/>
      <c r="AK5" s="4"/>
      <c r="AL5" s="4"/>
      <c r="AM5" s="4"/>
      <c r="AN5" s="4"/>
      <c r="AO5" s="4"/>
    </row>
    <row r="6" spans="1:41" ht="18" customHeight="1" x14ac:dyDescent="0.25">
      <c r="A6" s="4"/>
      <c r="B6" s="241"/>
      <c r="C6" s="241" t="s">
        <v>877</v>
      </c>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4"/>
      <c r="AI6" s="4"/>
      <c r="AJ6" s="4"/>
      <c r="AK6" s="4"/>
      <c r="AL6" s="4"/>
      <c r="AM6" s="4"/>
      <c r="AN6" s="4"/>
      <c r="AO6" s="4"/>
    </row>
    <row r="7" spans="1:41" ht="18" customHeight="1" x14ac:dyDescent="0.25">
      <c r="A7" s="4"/>
      <c r="B7" s="241"/>
      <c r="C7" s="241" t="s">
        <v>872</v>
      </c>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4"/>
      <c r="AI7" s="4"/>
      <c r="AJ7" s="4"/>
      <c r="AK7" s="4"/>
      <c r="AL7" s="4"/>
      <c r="AM7" s="4"/>
      <c r="AN7" s="4"/>
      <c r="AO7" s="4"/>
    </row>
    <row r="8" spans="1:41" ht="18" customHeight="1" x14ac:dyDescent="0.25">
      <c r="A8" s="4"/>
      <c r="B8" s="241"/>
      <c r="C8" s="241" t="s">
        <v>873</v>
      </c>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4"/>
      <c r="AI8" s="4"/>
      <c r="AJ8" s="4"/>
      <c r="AK8" s="4"/>
      <c r="AL8" s="4"/>
      <c r="AM8" s="4"/>
      <c r="AN8" s="4"/>
      <c r="AO8" s="4"/>
    </row>
    <row r="9" spans="1:41" ht="18" customHeight="1" x14ac:dyDescent="0.25">
      <c r="A9" s="4"/>
      <c r="B9" s="241" t="s">
        <v>871</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4"/>
      <c r="AI9" s="4"/>
      <c r="AJ9" s="4"/>
      <c r="AK9" s="4"/>
      <c r="AL9" s="4"/>
      <c r="AM9" s="4"/>
      <c r="AN9" s="4"/>
      <c r="AO9" s="4"/>
    </row>
    <row r="10" spans="1:41" ht="18" customHeight="1" x14ac:dyDescent="0.25">
      <c r="A10" s="4"/>
      <c r="B10" s="241"/>
      <c r="C10" s="325" t="s">
        <v>868</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4"/>
      <c r="AI10" s="4"/>
      <c r="AJ10" s="4"/>
      <c r="AK10" s="4"/>
      <c r="AL10" s="4"/>
      <c r="AM10" s="4"/>
      <c r="AN10" s="4"/>
      <c r="AO10" s="4"/>
    </row>
    <row r="11" spans="1:41" ht="18" customHeight="1" x14ac:dyDescent="0.25">
      <c r="A11" s="4"/>
      <c r="B11" s="241"/>
      <c r="C11" s="241" t="s">
        <v>878</v>
      </c>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330"/>
      <c r="AB11" s="330"/>
      <c r="AC11" s="241"/>
      <c r="AD11" s="241"/>
      <c r="AE11" s="547"/>
      <c r="AF11" s="547"/>
      <c r="AG11" s="241"/>
      <c r="AH11" s="241"/>
      <c r="AI11" s="4"/>
      <c r="AJ11" s="4"/>
      <c r="AK11" s="4"/>
      <c r="AL11" s="4"/>
      <c r="AM11" s="4"/>
      <c r="AN11" s="4"/>
      <c r="AO11" s="4"/>
    </row>
    <row r="12" spans="1:41" ht="18" customHeight="1" x14ac:dyDescent="0.25">
      <c r="A12" s="4"/>
      <c r="B12" s="241"/>
      <c r="C12" s="241" t="s">
        <v>879</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329"/>
      <c r="AF12" s="329"/>
      <c r="AG12" s="241"/>
      <c r="AH12" s="241"/>
      <c r="AI12" s="4"/>
      <c r="AJ12" s="4"/>
      <c r="AK12" s="4"/>
      <c r="AL12" s="4"/>
      <c r="AM12" s="4"/>
      <c r="AN12" s="4"/>
      <c r="AO12" s="4"/>
    </row>
    <row r="13" spans="1:41" ht="18" customHeight="1" x14ac:dyDescent="0.25">
      <c r="A13" s="4"/>
      <c r="B13" s="241"/>
      <c r="C13" s="241" t="s">
        <v>880</v>
      </c>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4"/>
      <c r="AI13" s="4"/>
      <c r="AJ13" s="4"/>
      <c r="AK13" s="4"/>
      <c r="AL13" s="4"/>
      <c r="AM13" s="4"/>
      <c r="AN13" s="4"/>
      <c r="AO13" s="4"/>
    </row>
    <row r="14" spans="1:41" ht="18" customHeight="1" x14ac:dyDescent="0.25">
      <c r="A14" s="4"/>
      <c r="B14" s="241"/>
      <c r="C14" s="241" t="s">
        <v>881</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4"/>
      <c r="AI14" s="4"/>
      <c r="AJ14" s="4"/>
      <c r="AK14" s="4"/>
      <c r="AL14" s="4"/>
      <c r="AM14" s="4"/>
      <c r="AN14" s="4"/>
      <c r="AO14" s="4"/>
    </row>
    <row r="15" spans="1:41" ht="18" customHeight="1" x14ac:dyDescent="0.25">
      <c r="A15" s="4"/>
      <c r="B15" s="241"/>
      <c r="C15" s="241" t="s">
        <v>882</v>
      </c>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4"/>
      <c r="AI15" s="4"/>
      <c r="AJ15" s="4"/>
      <c r="AK15" s="4"/>
      <c r="AL15" s="4"/>
      <c r="AM15" s="4"/>
      <c r="AN15" s="4"/>
      <c r="AO15" s="4"/>
    </row>
    <row r="16" spans="1:41" ht="18" customHeight="1" x14ac:dyDescent="0.25">
      <c r="A16" s="4"/>
      <c r="B16" s="241"/>
      <c r="C16" s="241" t="s">
        <v>876</v>
      </c>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326"/>
      <c r="AI16" s="326"/>
      <c r="AJ16" s="546" t="s">
        <v>497</v>
      </c>
      <c r="AK16" s="546"/>
      <c r="AL16" s="245"/>
      <c r="AM16" s="4"/>
      <c r="AN16" s="4"/>
      <c r="AO16" s="4"/>
    </row>
    <row r="17" spans="1:41" ht="18" customHeight="1" x14ac:dyDescent="0.25">
      <c r="A17" s="4"/>
      <c r="B17" s="241"/>
      <c r="C17" s="241"/>
      <c r="D17" s="241"/>
      <c r="E17" s="241"/>
      <c r="F17" s="241"/>
      <c r="G17" s="241"/>
      <c r="H17" s="241"/>
      <c r="I17" s="241"/>
      <c r="J17" s="241"/>
      <c r="K17" s="241"/>
      <c r="L17" s="241"/>
      <c r="M17" s="241"/>
      <c r="N17" s="241"/>
      <c r="O17" s="241" t="s">
        <v>496</v>
      </c>
      <c r="P17" s="241"/>
      <c r="Q17" s="241"/>
      <c r="R17" s="241"/>
      <c r="S17" s="241"/>
      <c r="T17" s="241"/>
      <c r="U17" s="241"/>
      <c r="V17" s="241"/>
      <c r="W17" s="241"/>
      <c r="X17" s="241"/>
      <c r="Y17" s="241"/>
      <c r="Z17" s="241"/>
      <c r="AA17" s="241"/>
      <c r="AB17" s="241"/>
      <c r="AC17" s="241"/>
      <c r="AD17" s="241"/>
      <c r="AE17" s="241"/>
      <c r="AF17" s="241"/>
      <c r="AG17" s="241"/>
      <c r="AH17" s="4"/>
      <c r="AI17" s="4"/>
      <c r="AJ17" s="4"/>
      <c r="AK17" s="4"/>
      <c r="AL17" s="4"/>
      <c r="AM17" s="4"/>
      <c r="AN17" s="4"/>
      <c r="AO17" s="4"/>
    </row>
    <row r="18" spans="1:41" ht="18" customHeight="1" x14ac:dyDescent="0.25">
      <c r="A18" s="4"/>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4"/>
      <c r="AI18" s="4"/>
      <c r="AJ18" s="4"/>
      <c r="AK18" s="4"/>
      <c r="AL18" s="4"/>
      <c r="AM18" s="4"/>
      <c r="AN18" s="4"/>
      <c r="AO18" s="4"/>
    </row>
    <row r="19" spans="1:41" ht="18" customHeight="1" x14ac:dyDescent="0.25">
      <c r="A19" s="4"/>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4"/>
      <c r="AI19" s="4"/>
      <c r="AJ19" s="4"/>
      <c r="AK19" s="4"/>
      <c r="AL19" s="4"/>
      <c r="AM19" s="4"/>
      <c r="AN19" s="4"/>
      <c r="AO19" s="4"/>
    </row>
    <row r="20" spans="1:41" ht="18" customHeight="1" x14ac:dyDescent="0.25">
      <c r="A20" s="4"/>
      <c r="B20" s="241"/>
      <c r="C20" s="241" t="s">
        <v>1433</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4"/>
      <c r="AI20" s="4"/>
      <c r="AJ20" s="4"/>
      <c r="AK20" s="4"/>
      <c r="AL20" s="4"/>
      <c r="AM20" s="4"/>
      <c r="AN20" s="4"/>
      <c r="AO20" s="4"/>
    </row>
    <row r="21" spans="1:41" ht="18" customHeight="1" x14ac:dyDescent="0.25">
      <c r="A21" s="4"/>
      <c r="B21" s="4"/>
      <c r="C21" s="241" t="s">
        <v>883</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4"/>
      <c r="AI21" s="4"/>
      <c r="AJ21" s="4"/>
      <c r="AK21" s="4"/>
      <c r="AL21" s="4"/>
      <c r="AM21" s="4"/>
      <c r="AN21" s="4"/>
      <c r="AO21" s="4"/>
    </row>
    <row r="22" spans="1:41" ht="18" customHeight="1" x14ac:dyDescent="0.25">
      <c r="A22" s="4"/>
      <c r="B22" s="4"/>
      <c r="C22" s="241" t="s">
        <v>884</v>
      </c>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4"/>
      <c r="AI22" s="4"/>
      <c r="AJ22" s="4"/>
      <c r="AK22" s="4"/>
      <c r="AL22" s="4"/>
      <c r="AM22" s="4"/>
      <c r="AN22" s="4"/>
      <c r="AO22" s="4"/>
    </row>
    <row r="23" spans="1:41" ht="18" customHeight="1" x14ac:dyDescent="0.25">
      <c r="A23" s="4"/>
      <c r="C23" s="241" t="s">
        <v>885</v>
      </c>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4"/>
      <c r="AI23" s="4"/>
      <c r="AJ23" s="4"/>
      <c r="AK23" s="4"/>
      <c r="AL23" s="4"/>
      <c r="AM23" s="4"/>
      <c r="AN23" s="4"/>
      <c r="AO23" s="4"/>
    </row>
    <row r="24" spans="1:41" ht="18" customHeight="1" x14ac:dyDescent="0.25">
      <c r="A24" s="4"/>
      <c r="B24" s="241"/>
      <c r="C24" s="4"/>
      <c r="D24" s="242" t="s">
        <v>870</v>
      </c>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4"/>
      <c r="AI24" s="4"/>
      <c r="AJ24" s="4"/>
      <c r="AK24" s="4"/>
      <c r="AL24" s="4"/>
      <c r="AM24" s="4"/>
      <c r="AN24" s="4"/>
      <c r="AO24" s="4"/>
    </row>
    <row r="25" spans="1:41" ht="18" customHeight="1" x14ac:dyDescent="0.25">
      <c r="A25" s="4"/>
      <c r="B25" s="241"/>
      <c r="C25" s="4"/>
      <c r="D25" s="243" t="s">
        <v>594</v>
      </c>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4"/>
      <c r="AI25" s="4"/>
      <c r="AJ25" s="4"/>
      <c r="AK25" s="4"/>
      <c r="AL25" s="4"/>
      <c r="AM25" s="4"/>
      <c r="AN25" s="4"/>
      <c r="AO25" s="4"/>
    </row>
    <row r="26" spans="1:41" ht="18" customHeight="1" x14ac:dyDescent="0.25">
      <c r="A26" s="4"/>
      <c r="B26" s="241"/>
      <c r="C26" s="4"/>
      <c r="D26" s="244" t="s">
        <v>595</v>
      </c>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4"/>
      <c r="AI26" s="4"/>
      <c r="AJ26" s="4"/>
      <c r="AK26" s="4"/>
      <c r="AL26" s="4"/>
      <c r="AM26" s="4"/>
      <c r="AN26" s="4"/>
      <c r="AO26" s="4"/>
    </row>
    <row r="27" spans="1:41" ht="18" customHeight="1" x14ac:dyDescent="0.25">
      <c r="A27" s="4"/>
      <c r="B27" s="241" t="s">
        <v>886</v>
      </c>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4"/>
      <c r="AI27" s="4"/>
      <c r="AJ27" s="4"/>
      <c r="AK27" s="4"/>
      <c r="AL27" s="4"/>
      <c r="AM27" s="4"/>
      <c r="AN27" s="4"/>
      <c r="AO27" s="4"/>
    </row>
    <row r="28" spans="1:41" ht="18" customHeight="1" x14ac:dyDescent="0.25">
      <c r="A28" s="4"/>
      <c r="B28" s="241" t="s">
        <v>887</v>
      </c>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4"/>
      <c r="AI28" s="4"/>
      <c r="AJ28" s="4"/>
      <c r="AK28" s="4"/>
      <c r="AL28" s="4"/>
      <c r="AM28" s="4"/>
      <c r="AN28" s="4"/>
      <c r="AO28" s="4"/>
    </row>
    <row r="29" spans="1:41" ht="18" customHeight="1" x14ac:dyDescent="0.25">
      <c r="A29" s="4"/>
      <c r="B29" s="241" t="s">
        <v>890</v>
      </c>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4"/>
      <c r="AI29" s="4"/>
      <c r="AJ29" s="4"/>
      <c r="AK29" s="4"/>
      <c r="AL29" s="4"/>
      <c r="AM29" s="4"/>
      <c r="AN29" s="4"/>
      <c r="AO29" s="4"/>
    </row>
    <row r="30" spans="1:41" ht="18" customHeight="1" x14ac:dyDescent="0.25">
      <c r="A30" s="4"/>
      <c r="B30" s="241" t="s">
        <v>889</v>
      </c>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4"/>
      <c r="AI30" s="4"/>
      <c r="AJ30" s="4"/>
      <c r="AK30" s="4"/>
      <c r="AL30" s="4"/>
      <c r="AM30" s="4"/>
      <c r="AN30" s="4"/>
      <c r="AO30" s="4"/>
    </row>
    <row r="31" spans="1:41"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8" customHeight="1" x14ac:dyDescent="0.25">
      <c r="A32" s="4"/>
      <c r="B32" s="158" t="s">
        <v>512</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8" customHeight="1" x14ac:dyDescent="0.25">
      <c r="A33" s="4"/>
      <c r="B33" s="241" t="s">
        <v>1672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8" customHeight="1" x14ac:dyDescent="0.25">
      <c r="A34" s="4"/>
      <c r="B34" s="241" t="s">
        <v>514</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8" customHeight="1" x14ac:dyDescent="0.25">
      <c r="A35" s="4"/>
      <c r="B35" s="241" t="s">
        <v>1673</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8" customHeight="1" x14ac:dyDescent="0.25">
      <c r="A36" s="4"/>
      <c r="B36" s="241" t="s">
        <v>513</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8" customHeight="1" x14ac:dyDescent="0.25">
      <c r="A37" s="4"/>
      <c r="B37" s="241" t="s">
        <v>515</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8" customHeight="1" x14ac:dyDescent="0.25">
      <c r="A38" s="4"/>
      <c r="B38" s="241" t="s">
        <v>1784</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8" customHeight="1" x14ac:dyDescent="0.25">
      <c r="A39" s="4"/>
      <c r="B39" s="241" t="s">
        <v>1674</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8" customHeight="1" x14ac:dyDescent="0.25">
      <c r="A41" s="4"/>
      <c r="B41" s="158" t="s">
        <v>516</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8" customHeight="1" x14ac:dyDescent="0.25">
      <c r="A42" s="4"/>
      <c r="B42" s="241" t="s">
        <v>514</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8" customHeight="1" x14ac:dyDescent="0.25">
      <c r="A43" s="4"/>
      <c r="B43" s="241" t="s">
        <v>1613</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8" customHeight="1" x14ac:dyDescent="0.25">
      <c r="A44" s="4"/>
      <c r="B44" s="241" t="s">
        <v>1699</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8" customHeight="1" x14ac:dyDescent="0.25">
      <c r="A45" s="4"/>
      <c r="B45" s="241" t="s">
        <v>1675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8" customHeight="1" x14ac:dyDescent="0.25">
      <c r="A46" s="4"/>
      <c r="B46" s="241" t="s">
        <v>598</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ht="18" customHeight="1" x14ac:dyDescent="0.25">
      <c r="A47" s="4"/>
      <c r="B47" s="241" t="s">
        <v>599</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ht="18" customHeight="1" x14ac:dyDescent="0.25">
      <c r="A48" s="4"/>
      <c r="B48" s="241" t="s">
        <v>600</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ht="18" customHeight="1" x14ac:dyDescent="0.25">
      <c r="A49" s="4"/>
      <c r="B49" s="241" t="s">
        <v>601</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ht="18" customHeight="1" x14ac:dyDescent="0.25">
      <c r="A50" s="4"/>
      <c r="B50" s="241" t="s">
        <v>597</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ht="18" customHeight="1" x14ac:dyDescent="0.25">
      <c r="A52" s="4"/>
      <c r="B52" s="158" t="s">
        <v>494</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x14ac:dyDescent="0.25">
      <c r="A53" s="4"/>
      <c r="B53" s="548" t="s">
        <v>1700</v>
      </c>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548"/>
      <c r="AN53" s="548"/>
      <c r="AO53" s="548"/>
    </row>
    <row r="54" spans="1:41" ht="55.5" customHeight="1" x14ac:dyDescent="0.25">
      <c r="A54" s="4"/>
      <c r="B54" s="549" t="s">
        <v>1701</v>
      </c>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29"/>
      <c r="AO54" s="529"/>
    </row>
    <row r="55" spans="1:41" ht="18" customHeight="1" x14ac:dyDescent="0.25">
      <c r="A55" s="4"/>
      <c r="B55" s="550" t="s">
        <v>495</v>
      </c>
      <c r="C55" s="550"/>
      <c r="D55" s="550"/>
      <c r="E55" s="550"/>
      <c r="F55" s="550"/>
      <c r="G55" s="550"/>
      <c r="H55" s="550"/>
      <c r="I55" s="550"/>
      <c r="J55" s="550"/>
      <c r="K55" s="550"/>
      <c r="L55" s="550"/>
      <c r="M55" s="550"/>
      <c r="N55" s="550"/>
      <c r="O55" s="550"/>
      <c r="P55" s="550"/>
      <c r="Q55" s="550"/>
      <c r="R55" s="550"/>
      <c r="S55" s="550"/>
      <c r="T55" s="552"/>
      <c r="U55" s="552"/>
      <c r="V55" s="552"/>
      <c r="W55" s="552"/>
      <c r="X55" s="552"/>
      <c r="Y55" s="552"/>
      <c r="Z55" s="552"/>
      <c r="AA55" s="552"/>
      <c r="AB55" s="552"/>
      <c r="AC55" s="552"/>
      <c r="AD55" s="552"/>
      <c r="AE55" s="552"/>
      <c r="AF55" s="552"/>
      <c r="AG55" s="552"/>
      <c r="AH55" s="552"/>
      <c r="AI55" s="552"/>
      <c r="AJ55" s="552"/>
      <c r="AK55" s="552"/>
      <c r="AL55" s="552"/>
      <c r="AM55" s="552"/>
      <c r="AN55" s="552"/>
      <c r="AO55" s="552"/>
    </row>
    <row r="56" spans="1:41" ht="30" customHeight="1" x14ac:dyDescent="0.25">
      <c r="A56" s="4"/>
      <c r="B56" s="550" t="s">
        <v>1703</v>
      </c>
      <c r="C56" s="550"/>
      <c r="D56" s="550"/>
      <c r="E56" s="550"/>
      <c r="F56" s="550"/>
      <c r="G56" s="550"/>
      <c r="H56" s="550"/>
      <c r="I56" s="550"/>
      <c r="J56" s="550"/>
      <c r="K56" s="550"/>
      <c r="L56" s="550"/>
      <c r="M56" s="550"/>
      <c r="N56" s="551" t="s">
        <v>1748</v>
      </c>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51"/>
    </row>
    <row r="57" spans="1:41" ht="18" customHeight="1" x14ac:dyDescent="0.25">
      <c r="A57" s="4"/>
      <c r="B57" s="554" t="s">
        <v>1035</v>
      </c>
      <c r="C57" s="554"/>
      <c r="D57" s="554"/>
      <c r="E57" s="554"/>
      <c r="F57" s="554"/>
      <c r="G57" s="554"/>
      <c r="H57" s="554"/>
      <c r="I57" s="554"/>
      <c r="J57" s="554"/>
      <c r="K57" s="554"/>
      <c r="L57" s="554"/>
      <c r="M57" s="554"/>
      <c r="N57" s="554"/>
      <c r="O57" s="554"/>
      <c r="P57" s="554"/>
      <c r="Q57" s="554"/>
      <c r="R57" s="554"/>
      <c r="S57" s="554"/>
      <c r="T57" s="553"/>
      <c r="U57" s="553"/>
      <c r="V57" s="553"/>
      <c r="W57" s="553"/>
      <c r="X57" s="553"/>
      <c r="Y57" s="553"/>
      <c r="Z57" s="553"/>
      <c r="AA57" s="553"/>
      <c r="AB57" s="553"/>
      <c r="AC57" s="553"/>
      <c r="AD57" s="553"/>
      <c r="AE57" s="553"/>
      <c r="AF57" s="553"/>
      <c r="AG57" s="553"/>
      <c r="AH57" s="553"/>
      <c r="AI57" s="553"/>
      <c r="AJ57" s="553"/>
      <c r="AK57" s="553"/>
      <c r="AL57" s="553"/>
      <c r="AM57" s="553"/>
      <c r="AN57" s="553"/>
      <c r="AO57" s="553"/>
    </row>
    <row r="58" spans="1:41" ht="18" customHeight="1" x14ac:dyDescent="0.25">
      <c r="A58" s="4"/>
      <c r="B58" s="554" t="s">
        <v>1010</v>
      </c>
      <c r="C58" s="554"/>
      <c r="D58" s="554"/>
      <c r="E58" s="554"/>
      <c r="F58" s="554"/>
      <c r="G58" s="554"/>
      <c r="H58" s="554"/>
      <c r="I58" s="554"/>
      <c r="J58" s="554"/>
      <c r="K58" s="554"/>
      <c r="L58" s="554"/>
      <c r="M58" s="554"/>
      <c r="N58" s="554"/>
      <c r="O58" s="554"/>
      <c r="P58" s="554"/>
      <c r="Q58" s="554"/>
      <c r="R58" s="554"/>
      <c r="S58" s="554"/>
      <c r="T58" s="553"/>
      <c r="U58" s="553"/>
      <c r="V58" s="553"/>
      <c r="W58" s="553"/>
      <c r="X58" s="553"/>
      <c r="Y58" s="553"/>
      <c r="Z58" s="553"/>
      <c r="AA58" s="553"/>
      <c r="AB58" s="553"/>
      <c r="AC58" s="553"/>
      <c r="AD58" s="553"/>
      <c r="AE58" s="553"/>
      <c r="AF58" s="553"/>
      <c r="AG58" s="553"/>
      <c r="AH58" s="553"/>
      <c r="AI58" s="553"/>
      <c r="AJ58" s="553"/>
      <c r="AK58" s="553"/>
      <c r="AL58" s="553"/>
      <c r="AM58" s="553"/>
      <c r="AN58" s="553"/>
      <c r="AO58" s="553"/>
    </row>
    <row r="59" spans="1:41" ht="18" customHeight="1" x14ac:dyDescent="0.25">
      <c r="A59" s="4"/>
      <c r="B59" s="554" t="s">
        <v>1011</v>
      </c>
      <c r="C59" s="554"/>
      <c r="D59" s="554"/>
      <c r="E59" s="554"/>
      <c r="F59" s="554"/>
      <c r="G59" s="554"/>
      <c r="H59" s="554"/>
      <c r="I59" s="554"/>
      <c r="J59" s="554"/>
      <c r="K59" s="554"/>
      <c r="L59" s="554"/>
      <c r="M59" s="554"/>
      <c r="N59" s="554"/>
      <c r="O59" s="554"/>
      <c r="P59" s="554"/>
      <c r="Q59" s="554"/>
      <c r="R59" s="554"/>
      <c r="S59" s="554"/>
      <c r="T59" s="553"/>
      <c r="U59" s="553"/>
      <c r="V59" s="553"/>
      <c r="W59" s="553"/>
      <c r="X59" s="553"/>
      <c r="Y59" s="553"/>
      <c r="Z59" s="553"/>
      <c r="AA59" s="553"/>
      <c r="AB59" s="553"/>
      <c r="AC59" s="553"/>
      <c r="AD59" s="553"/>
      <c r="AE59" s="553"/>
      <c r="AF59" s="553"/>
      <c r="AG59" s="553"/>
      <c r="AH59" s="553"/>
      <c r="AI59" s="553"/>
      <c r="AJ59" s="553"/>
      <c r="AK59" s="553"/>
      <c r="AL59" s="553"/>
      <c r="AM59" s="553"/>
      <c r="AN59" s="553"/>
      <c r="AO59" s="553"/>
    </row>
    <row r="60" spans="1:41" ht="18" customHeight="1" x14ac:dyDescent="0.25">
      <c r="A60" s="4"/>
      <c r="B60" s="555" t="s">
        <v>1012</v>
      </c>
      <c r="C60" s="555"/>
      <c r="D60" s="555"/>
      <c r="E60" s="555"/>
      <c r="F60" s="555"/>
      <c r="G60" s="555"/>
      <c r="H60" s="555"/>
      <c r="I60" s="555"/>
      <c r="J60" s="555"/>
      <c r="K60" s="555"/>
      <c r="L60" s="555"/>
      <c r="M60" s="555"/>
      <c r="N60" s="555"/>
      <c r="O60" s="555"/>
      <c r="P60" s="555"/>
      <c r="Q60" s="555"/>
      <c r="R60" s="555"/>
      <c r="S60" s="555"/>
      <c r="T60" s="553"/>
      <c r="U60" s="553"/>
      <c r="V60" s="553"/>
      <c r="W60" s="553"/>
      <c r="X60" s="553"/>
      <c r="Y60" s="553"/>
      <c r="Z60" s="553"/>
      <c r="AA60" s="553"/>
      <c r="AB60" s="553"/>
      <c r="AC60" s="553"/>
      <c r="AD60" s="553"/>
      <c r="AE60" s="553"/>
      <c r="AF60" s="553"/>
      <c r="AG60" s="553"/>
      <c r="AH60" s="553"/>
      <c r="AI60" s="553"/>
      <c r="AJ60" s="553"/>
      <c r="AK60" s="553"/>
      <c r="AL60" s="553"/>
      <c r="AM60" s="553"/>
      <c r="AN60" s="553"/>
      <c r="AO60" s="553"/>
    </row>
    <row r="61" spans="1:41" ht="18" customHeight="1" x14ac:dyDescent="0.25">
      <c r="A61" s="4"/>
      <c r="B61" s="554" t="s">
        <v>517</v>
      </c>
      <c r="C61" s="554"/>
      <c r="D61" s="554"/>
      <c r="E61" s="554"/>
      <c r="F61" s="554"/>
      <c r="G61" s="554"/>
      <c r="H61" s="554"/>
      <c r="I61" s="554"/>
      <c r="J61" s="554"/>
      <c r="K61" s="554"/>
      <c r="L61" s="554"/>
      <c r="M61" s="554"/>
      <c r="N61" s="554"/>
      <c r="O61" s="554"/>
      <c r="P61" s="554"/>
      <c r="Q61" s="554"/>
      <c r="R61" s="554"/>
      <c r="S61" s="554"/>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row>
    <row r="62" spans="1:4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ht="18" customHeight="1" x14ac:dyDescent="0.25">
      <c r="A63" s="4"/>
      <c r="B63" s="158" t="s">
        <v>593</v>
      </c>
      <c r="C63" s="4"/>
      <c r="D63" s="4"/>
      <c r="E63" s="4"/>
      <c r="F63" s="4"/>
      <c r="G63" s="4"/>
      <c r="H63" s="4"/>
      <c r="I63" s="4"/>
      <c r="J63" s="4"/>
      <c r="K63" s="4"/>
      <c r="L63" s="4"/>
      <c r="M63" s="546" t="s">
        <v>497</v>
      </c>
      <c r="N63" s="546"/>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3"/>
    </row>
    <row r="64" spans="1:4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sheetData>
  <sheetProtection algorithmName="SHA-512" hashValue="LjzXQMNKbkwqfWuRtolFo5kVo9BMVXnK3HQiuiaXzxbZ+K1wBg+ExVcAQh3bpxvblvTmBdnGeVmgirzffhJz0Q==" saltValue="6mKHX+Y9okir3LdLeFApvA==" spinCount="100000" sheet="1" selectLockedCells="1"/>
  <mergeCells count="20">
    <mergeCell ref="T59:AO59"/>
    <mergeCell ref="M63:N63"/>
    <mergeCell ref="B57:S57"/>
    <mergeCell ref="B58:S58"/>
    <mergeCell ref="B59:S59"/>
    <mergeCell ref="B60:S60"/>
    <mergeCell ref="B61:S61"/>
    <mergeCell ref="T60:AO60"/>
    <mergeCell ref="T61:AO61"/>
    <mergeCell ref="O63:AO63"/>
    <mergeCell ref="B56:M56"/>
    <mergeCell ref="N56:AO56"/>
    <mergeCell ref="T55:AO55"/>
    <mergeCell ref="T57:AO57"/>
    <mergeCell ref="T58:AO58"/>
    <mergeCell ref="AJ16:AK16"/>
    <mergeCell ref="AE11:AF11"/>
    <mergeCell ref="B53:AO53"/>
    <mergeCell ref="B54:AM54"/>
    <mergeCell ref="B55:S55"/>
  </mergeCells>
  <hyperlinks>
    <hyperlink ref="B58:Q58" r:id="rId1" display="ENERGY STAR Certified Heat Pump Water Heater" xr:uid="{AB57F6A8-C5C2-4F36-A7F2-4A8EB2178160}"/>
    <hyperlink ref="B57:Q57" r:id="rId2" display="ENERGY STAR Certified Most Efficient Continuous Exhaust Fans" xr:uid="{D6D49813-EC5F-4B97-9C9E-3D26C1AC9B38}"/>
    <hyperlink ref="B61:Q61" r:id="rId3" display="ENERGY STAR Certified Room Air Conditioner" xr:uid="{CDBC75B0-55B0-42B0-9AE6-174F682A09F6}"/>
    <hyperlink ref="M63:N63" r:id="rId4" display="LINK" xr:uid="{A35DCAB7-348C-4838-BF3F-B083BD3A7199}"/>
    <hyperlink ref="AJ16:AK16" r:id="rId5" display="LINK" xr:uid="{25A2CBED-6217-4402-94A9-5953265F7841}"/>
    <hyperlink ref="B59:Q59" r:id="rId6" display="ENERGY STAR Certified Heat Pump Water Heater" xr:uid="{917129F1-E301-41EA-8C88-3B9128B2B6FC}"/>
    <hyperlink ref="B59:R59" r:id="rId7" display="ENERGY STAR Certified Heat Pump Water Heater - 120 Volts" xr:uid="{504ACC2F-E0DC-44A2-8C3D-802102E3DE4E}"/>
    <hyperlink ref="B60:R60" r:id="rId8" display="ENERGY STAR Certified Gas Storage Water Heaters" xr:uid="{8019942D-7A61-4893-ABF6-1DA80F53F906}"/>
    <hyperlink ref="B57:S57" r:id="rId9" display="ENERGY STAR Certified Continuous Exhaust Fans" xr:uid="{28E4479E-1958-478E-A672-D8EF5ED2FB18}"/>
    <hyperlink ref="B55:S55" r:id="rId10" display="ENERGY STAR Certified Smart Thermostats" xr:uid="{7AABCC0A-47EF-4094-9965-863DA7A6ED82}"/>
    <hyperlink ref="B60:S60" r:id="rId11" display="ENERGY STAR Certified Gas Storage Water Heaters" xr:uid="{044506F6-E475-4C24-934E-6AA90D1BC48A}"/>
    <hyperlink ref="B56:M56" r:id="rId12" display="Smart Thermostat Approved Product List" xr:uid="{F50DA8F5-01ED-4901-87D4-6621944C61AF}"/>
  </hyperlinks>
  <pageMargins left="0.25" right="0.25" top="0.75" bottom="0.75" header="0.3" footer="0.3"/>
  <pageSetup orientation="portrait" horizontalDpi="1200" verticalDpi="1200"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2EC7-0176-4311-8A04-E987D6F31CAE}">
  <sheetPr>
    <pageSetUpPr fitToPage="1"/>
  </sheetPr>
  <dimension ref="B1:S25"/>
  <sheetViews>
    <sheetView zoomScale="145" zoomScaleNormal="145" workbookViewId="0">
      <selection activeCell="E16" sqref="E16:S19"/>
    </sheetView>
  </sheetViews>
  <sheetFormatPr defaultColWidth="9.140625" defaultRowHeight="15" x14ac:dyDescent="0.25"/>
  <cols>
    <col min="1" max="1" width="0.85546875" customWidth="1"/>
    <col min="2" max="4" width="4.85546875" customWidth="1"/>
    <col min="5" max="17" width="5.7109375" customWidth="1"/>
    <col min="18" max="24" width="4.85546875" customWidth="1"/>
  </cols>
  <sheetData>
    <row r="1" spans="2:19" s="152" customFormat="1" ht="23.45" customHeight="1" x14ac:dyDescent="0.35">
      <c r="B1" s="612" t="s">
        <v>587</v>
      </c>
      <c r="C1" s="612"/>
      <c r="D1" s="612"/>
      <c r="E1" s="612"/>
      <c r="F1" s="612"/>
      <c r="G1" s="612"/>
      <c r="H1" s="612"/>
      <c r="I1" s="612"/>
      <c r="J1" s="612"/>
      <c r="K1" s="612"/>
      <c r="L1" s="612"/>
      <c r="M1" s="612"/>
      <c r="N1" s="612"/>
      <c r="O1" s="612"/>
      <c r="P1" s="612"/>
      <c r="Q1" s="612"/>
      <c r="R1" s="612"/>
      <c r="S1" s="612"/>
    </row>
    <row r="2" spans="2:19" s="153" customFormat="1" ht="21" x14ac:dyDescent="0.35">
      <c r="B2" s="626" t="s">
        <v>1681</v>
      </c>
      <c r="C2" s="626"/>
      <c r="D2" s="626"/>
      <c r="E2" s="626"/>
      <c r="F2" s="626"/>
      <c r="G2" s="626"/>
      <c r="H2" s="626"/>
      <c r="I2" s="626"/>
      <c r="J2" s="626"/>
      <c r="K2" s="626"/>
      <c r="L2" s="626"/>
      <c r="M2" s="626"/>
      <c r="N2" s="626"/>
      <c r="O2" s="626"/>
      <c r="P2" s="626"/>
      <c r="Q2" s="626"/>
      <c r="R2" s="626"/>
      <c r="S2" s="626"/>
    </row>
    <row r="3" spans="2:19" ht="33" customHeight="1" x14ac:dyDescent="0.25">
      <c r="B3" s="1127" t="s">
        <v>414</v>
      </c>
      <c r="C3" s="1127"/>
      <c r="D3" s="1127"/>
      <c r="E3" s="1127"/>
      <c r="F3" s="1127"/>
      <c r="G3" s="1127"/>
      <c r="H3" s="1127"/>
      <c r="I3" s="1127"/>
      <c r="J3" s="1127"/>
      <c r="K3" s="1127"/>
      <c r="L3" s="1127"/>
      <c r="M3" s="1127"/>
      <c r="N3" s="1127"/>
      <c r="O3" s="1127"/>
      <c r="P3" s="1127"/>
      <c r="Q3" s="1130"/>
      <c r="R3" s="1130"/>
      <c r="S3" s="1130"/>
    </row>
    <row r="4" spans="2:19" s="154" customFormat="1" ht="18" customHeight="1" x14ac:dyDescent="0.25">
      <c r="B4" s="1124" t="s">
        <v>403</v>
      </c>
      <c r="C4" s="1125"/>
      <c r="D4" s="1125"/>
      <c r="E4" s="1125"/>
      <c r="F4" s="1125"/>
      <c r="G4" s="1125"/>
      <c r="H4" s="1125"/>
      <c r="I4" s="1125"/>
      <c r="J4" s="1125"/>
      <c r="K4" s="1125"/>
      <c r="L4" s="1125"/>
      <c r="M4" s="1125"/>
      <c r="N4" s="1125"/>
      <c r="O4" s="1125"/>
      <c r="P4" s="1125"/>
      <c r="Q4" s="1125"/>
      <c r="R4" s="1125"/>
      <c r="S4" s="1126"/>
    </row>
    <row r="5" spans="2:19" s="2" customFormat="1" ht="24" customHeight="1" x14ac:dyDescent="0.25">
      <c r="B5" s="1128" t="s">
        <v>404</v>
      </c>
      <c r="C5" s="1129"/>
      <c r="D5" s="1131" t="str">
        <f>IF(ISBLANK('Project Information'!M15),"",'Project Information'!M15)</f>
        <v/>
      </c>
      <c r="E5" s="1131"/>
      <c r="F5" s="1131"/>
      <c r="G5" s="1132"/>
      <c r="H5" s="1133" t="s">
        <v>415</v>
      </c>
      <c r="I5" s="1133"/>
      <c r="J5" s="1133"/>
      <c r="K5" s="1134" t="str">
        <f>IF(ISBLANK('Project Information'!E6),"",'Project Information'!E6)</f>
        <v/>
      </c>
      <c r="L5" s="1134"/>
      <c r="M5" s="1134"/>
      <c r="N5" s="1134"/>
      <c r="O5" s="1134"/>
      <c r="P5" s="1134"/>
      <c r="Q5" s="1134"/>
      <c r="R5" s="1134"/>
      <c r="S5" s="1135"/>
    </row>
    <row r="6" spans="2:19" s="2" customFormat="1" ht="24" customHeight="1" x14ac:dyDescent="0.25">
      <c r="B6" s="1176" t="s">
        <v>416</v>
      </c>
      <c r="C6" s="1177"/>
      <c r="D6" s="1172"/>
      <c r="E6" s="1172"/>
      <c r="F6" s="1172"/>
      <c r="G6" s="1172"/>
      <c r="H6" s="1172"/>
      <c r="I6" s="1172"/>
      <c r="J6" s="1173"/>
      <c r="K6" s="1174" t="s">
        <v>406</v>
      </c>
      <c r="L6" s="1175"/>
      <c r="M6" s="1175"/>
      <c r="N6" s="1172"/>
      <c r="O6" s="1172"/>
      <c r="P6" s="1172"/>
      <c r="Q6" s="1172"/>
      <c r="R6" s="1172"/>
      <c r="S6" s="1173"/>
    </row>
    <row r="7" spans="2:19" s="2" customFormat="1" ht="3" customHeight="1" x14ac:dyDescent="0.25">
      <c r="B7" s="1171"/>
      <c r="C7" s="1171"/>
      <c r="D7" s="1171"/>
      <c r="E7" s="1171"/>
      <c r="F7" s="1171"/>
      <c r="G7" s="1171"/>
      <c r="H7" s="1171"/>
      <c r="I7" s="1171"/>
      <c r="J7" s="1171"/>
      <c r="K7" s="1171"/>
      <c r="L7" s="1171"/>
      <c r="M7" s="1171"/>
      <c r="N7" s="1171"/>
      <c r="O7" s="1171"/>
      <c r="P7" s="1171"/>
      <c r="Q7" s="1171"/>
      <c r="R7" s="1171"/>
      <c r="S7" s="1171"/>
    </row>
    <row r="8" spans="2:19" s="155" customFormat="1" ht="18" customHeight="1" x14ac:dyDescent="0.25">
      <c r="B8" s="1163" t="s">
        <v>408</v>
      </c>
      <c r="C8" s="1164"/>
      <c r="D8" s="1164"/>
      <c r="E8" s="1164"/>
      <c r="F8" s="1164"/>
      <c r="G8" s="1164"/>
      <c r="H8" s="1164"/>
      <c r="I8" s="1164"/>
      <c r="J8" s="1164"/>
      <c r="K8" s="1164"/>
      <c r="L8" s="1164"/>
      <c r="M8" s="1164"/>
      <c r="N8" s="1164"/>
      <c r="O8" s="1164"/>
      <c r="P8" s="1164"/>
      <c r="Q8" s="1164"/>
      <c r="R8" s="1164"/>
      <c r="S8" s="1165"/>
    </row>
    <row r="9" spans="2:19" s="155" customFormat="1" ht="18" customHeight="1" x14ac:dyDescent="0.2">
      <c r="B9" s="1167" t="s">
        <v>407</v>
      </c>
      <c r="C9" s="1168"/>
      <c r="D9" s="1168"/>
      <c r="E9" s="157"/>
      <c r="F9" s="1169" t="s">
        <v>417</v>
      </c>
      <c r="G9" s="1169"/>
      <c r="H9" s="1169"/>
      <c r="I9" s="1169"/>
      <c r="J9" s="1169"/>
      <c r="K9" s="1169"/>
      <c r="L9" s="1169"/>
      <c r="M9" s="1169"/>
      <c r="N9" s="1169"/>
      <c r="O9" s="1169"/>
      <c r="P9" s="1169"/>
      <c r="Q9" s="1169"/>
      <c r="R9" s="1169"/>
      <c r="S9" s="1170"/>
    </row>
    <row r="10" spans="2:19" ht="19.899999999999999" customHeight="1" x14ac:dyDescent="0.25">
      <c r="B10" s="1181" t="s">
        <v>418</v>
      </c>
      <c r="C10" s="1182"/>
      <c r="D10" s="1182"/>
      <c r="E10" s="1182"/>
      <c r="F10" s="1182"/>
      <c r="G10" s="1183"/>
      <c r="H10" s="1181" t="s">
        <v>429</v>
      </c>
      <c r="I10" s="1182"/>
      <c r="J10" s="1182"/>
      <c r="K10" s="1182"/>
      <c r="L10" s="1182"/>
      <c r="M10" s="1182"/>
      <c r="N10" s="1182"/>
      <c r="O10" s="1182"/>
      <c r="P10" s="1182"/>
      <c r="Q10" s="1182"/>
      <c r="R10" s="1182"/>
      <c r="S10" s="1183"/>
    </row>
    <row r="11" spans="2:19" ht="19.899999999999999" customHeight="1" x14ac:dyDescent="0.25">
      <c r="B11" s="750"/>
      <c r="C11" s="751"/>
      <c r="D11" s="751"/>
      <c r="E11" s="751"/>
      <c r="F11" s="751"/>
      <c r="G11" s="1143"/>
      <c r="H11" s="1178"/>
      <c r="I11" s="1179"/>
      <c r="J11" s="1179"/>
      <c r="K11" s="1179"/>
      <c r="L11" s="1179"/>
      <c r="M11" s="1179"/>
      <c r="N11" s="1179"/>
      <c r="O11" s="1179"/>
      <c r="P11" s="1179"/>
      <c r="Q11" s="1179"/>
      <c r="R11" s="1179"/>
      <c r="S11" s="1180"/>
    </row>
    <row r="12" spans="2:19" ht="19.899999999999999" customHeight="1" x14ac:dyDescent="0.25">
      <c r="B12" s="750"/>
      <c r="C12" s="751"/>
      <c r="D12" s="751"/>
      <c r="E12" s="751"/>
      <c r="F12" s="751"/>
      <c r="G12" s="1143"/>
      <c r="H12" s="1178"/>
      <c r="I12" s="1179"/>
      <c r="J12" s="1179"/>
      <c r="K12" s="1179"/>
      <c r="L12" s="1179"/>
      <c r="M12" s="1179"/>
      <c r="N12" s="1179"/>
      <c r="O12" s="1179"/>
      <c r="P12" s="1179"/>
      <c r="Q12" s="1179"/>
      <c r="R12" s="1179"/>
      <c r="S12" s="1180"/>
    </row>
    <row r="13" spans="2:19" ht="19.899999999999999" customHeight="1" x14ac:dyDescent="0.25">
      <c r="B13" s="750"/>
      <c r="C13" s="751"/>
      <c r="D13" s="751"/>
      <c r="E13" s="751"/>
      <c r="F13" s="751"/>
      <c r="G13" s="1143"/>
      <c r="H13" s="1178"/>
      <c r="I13" s="1179"/>
      <c r="J13" s="1179"/>
      <c r="K13" s="1179"/>
      <c r="L13" s="1179"/>
      <c r="M13" s="1179"/>
      <c r="N13" s="1179"/>
      <c r="O13" s="1179"/>
      <c r="P13" s="1179"/>
      <c r="Q13" s="1179"/>
      <c r="R13" s="1179"/>
      <c r="S13" s="1180"/>
    </row>
    <row r="14" spans="2:19" ht="19.899999999999999" customHeight="1" x14ac:dyDescent="0.25">
      <c r="B14" s="750"/>
      <c r="C14" s="751"/>
      <c r="D14" s="751"/>
      <c r="E14" s="751"/>
      <c r="F14" s="751"/>
      <c r="G14" s="1143"/>
      <c r="H14" s="1178"/>
      <c r="I14" s="1179"/>
      <c r="J14" s="1179"/>
      <c r="K14" s="1179"/>
      <c r="L14" s="1179"/>
      <c r="M14" s="1179"/>
      <c r="N14" s="1179"/>
      <c r="O14" s="1179"/>
      <c r="P14" s="1179"/>
      <c r="Q14" s="1179"/>
      <c r="R14" s="1179"/>
      <c r="S14" s="1180"/>
    </row>
    <row r="15" spans="2:19" ht="19.899999999999999" customHeight="1" x14ac:dyDescent="0.25">
      <c r="B15" s="750"/>
      <c r="C15" s="751"/>
      <c r="D15" s="751"/>
      <c r="E15" s="751"/>
      <c r="F15" s="751"/>
      <c r="G15" s="1143"/>
      <c r="H15" s="1178"/>
      <c r="I15" s="1179"/>
      <c r="J15" s="1179"/>
      <c r="K15" s="1179"/>
      <c r="L15" s="1179"/>
      <c r="M15" s="1179"/>
      <c r="N15" s="1179"/>
      <c r="O15" s="1179"/>
      <c r="P15" s="1179"/>
      <c r="Q15" s="1179"/>
      <c r="R15" s="1179"/>
      <c r="S15" s="1180"/>
    </row>
    <row r="16" spans="2:19" ht="22.5" customHeight="1" x14ac:dyDescent="0.25">
      <c r="B16" s="1151" t="s">
        <v>409</v>
      </c>
      <c r="C16" s="1152"/>
      <c r="D16" s="1152"/>
      <c r="E16" s="1157"/>
      <c r="F16" s="1157"/>
      <c r="G16" s="1157"/>
      <c r="H16" s="1157"/>
      <c r="I16" s="1157"/>
      <c r="J16" s="1157"/>
      <c r="K16" s="1157"/>
      <c r="L16" s="1157"/>
      <c r="M16" s="1157"/>
      <c r="N16" s="1157"/>
      <c r="O16" s="1157"/>
      <c r="P16" s="1157"/>
      <c r="Q16" s="1157"/>
      <c r="R16" s="1157"/>
      <c r="S16" s="1158"/>
    </row>
    <row r="17" spans="2:19" ht="22.5" customHeight="1" x14ac:dyDescent="0.25">
      <c r="B17" s="1153"/>
      <c r="C17" s="1154"/>
      <c r="D17" s="1154"/>
      <c r="E17" s="1159"/>
      <c r="F17" s="1159"/>
      <c r="G17" s="1159"/>
      <c r="H17" s="1159"/>
      <c r="I17" s="1159"/>
      <c r="J17" s="1159"/>
      <c r="K17" s="1159"/>
      <c r="L17" s="1159"/>
      <c r="M17" s="1159"/>
      <c r="N17" s="1159"/>
      <c r="O17" s="1159"/>
      <c r="P17" s="1159"/>
      <c r="Q17" s="1159"/>
      <c r="R17" s="1159"/>
      <c r="S17" s="1160"/>
    </row>
    <row r="18" spans="2:19" ht="21.75" customHeight="1" x14ac:dyDescent="0.25">
      <c r="B18" s="1153"/>
      <c r="C18" s="1154"/>
      <c r="D18" s="1154"/>
      <c r="E18" s="1159"/>
      <c r="F18" s="1159"/>
      <c r="G18" s="1159"/>
      <c r="H18" s="1159"/>
      <c r="I18" s="1159"/>
      <c r="J18" s="1159"/>
      <c r="K18" s="1159"/>
      <c r="L18" s="1159"/>
      <c r="M18" s="1159"/>
      <c r="N18" s="1159"/>
      <c r="O18" s="1159"/>
      <c r="P18" s="1159"/>
      <c r="Q18" s="1159"/>
      <c r="R18" s="1159"/>
      <c r="S18" s="1160"/>
    </row>
    <row r="19" spans="2:19" ht="22.5" customHeight="1" x14ac:dyDescent="0.25">
      <c r="B19" s="1155"/>
      <c r="C19" s="1156"/>
      <c r="D19" s="1156"/>
      <c r="E19" s="1161"/>
      <c r="F19" s="1161"/>
      <c r="G19" s="1161"/>
      <c r="H19" s="1161"/>
      <c r="I19" s="1161"/>
      <c r="J19" s="1161"/>
      <c r="K19" s="1161"/>
      <c r="L19" s="1161"/>
      <c r="M19" s="1161"/>
      <c r="N19" s="1161"/>
      <c r="O19" s="1161"/>
      <c r="P19" s="1161"/>
      <c r="Q19" s="1161"/>
      <c r="R19" s="1161"/>
      <c r="S19" s="1162"/>
    </row>
    <row r="20" spans="2:19" ht="3" customHeight="1" x14ac:dyDescent="0.25">
      <c r="B20" s="1166"/>
      <c r="C20" s="1166"/>
      <c r="D20" s="1166"/>
      <c r="E20" s="1166"/>
      <c r="F20" s="1166"/>
      <c r="G20" s="1166"/>
      <c r="H20" s="1166"/>
      <c r="I20" s="1166"/>
      <c r="J20" s="1166"/>
      <c r="K20" s="1166"/>
      <c r="L20" s="1166"/>
      <c r="M20" s="1166"/>
      <c r="N20" s="1166"/>
      <c r="O20" s="1166"/>
      <c r="P20" s="1166"/>
      <c r="Q20" s="1166"/>
      <c r="R20" s="1166"/>
      <c r="S20" s="1166"/>
    </row>
    <row r="21" spans="2:19" ht="22.5" customHeight="1" x14ac:dyDescent="0.25">
      <c r="B21" s="1163" t="s">
        <v>430</v>
      </c>
      <c r="C21" s="1164"/>
      <c r="D21" s="1164"/>
      <c r="E21" s="1164"/>
      <c r="F21" s="1164"/>
      <c r="G21" s="1164"/>
      <c r="H21" s="1164"/>
      <c r="I21" s="1164"/>
      <c r="J21" s="1164"/>
      <c r="K21" s="1164"/>
      <c r="L21" s="1164"/>
      <c r="M21" s="1164"/>
      <c r="N21" s="1164"/>
      <c r="O21" s="1164"/>
      <c r="P21" s="1164"/>
      <c r="Q21" s="1164"/>
      <c r="R21" s="1164"/>
      <c r="S21" s="1165"/>
    </row>
    <row r="22" spans="2:19" ht="30" customHeight="1" x14ac:dyDescent="0.25">
      <c r="B22" s="1136" t="s">
        <v>410</v>
      </c>
      <c r="C22" s="1137"/>
      <c r="D22" s="1137"/>
      <c r="E22" s="1137"/>
      <c r="F22" s="1137"/>
      <c r="G22" s="1137"/>
      <c r="H22" s="1137"/>
      <c r="I22" s="1137"/>
      <c r="J22" s="1137"/>
      <c r="K22" s="1137"/>
      <c r="L22" s="1137"/>
      <c r="M22" s="1137"/>
      <c r="N22" s="1137"/>
      <c r="O22" s="1137"/>
      <c r="P22" s="1137"/>
      <c r="Q22" s="1137"/>
      <c r="R22" s="1137"/>
      <c r="S22" s="1138"/>
    </row>
    <row r="23" spans="2:19" s="2" customFormat="1" ht="45" customHeight="1" x14ac:dyDescent="0.25">
      <c r="B23" s="1144" t="s">
        <v>411</v>
      </c>
      <c r="C23" s="1145"/>
      <c r="D23" s="1148"/>
      <c r="E23" s="1148"/>
      <c r="F23" s="1148"/>
      <c r="G23" s="1148"/>
      <c r="H23" s="1148"/>
      <c r="I23" s="1144" t="s">
        <v>412</v>
      </c>
      <c r="J23" s="1145"/>
      <c r="K23" s="1149"/>
      <c r="L23" s="1149"/>
      <c r="M23" s="1149"/>
      <c r="N23" s="1149"/>
      <c r="O23" s="1150"/>
      <c r="P23" s="498" t="s">
        <v>405</v>
      </c>
      <c r="Q23" s="1146"/>
      <c r="R23" s="1146"/>
      <c r="S23" s="1147"/>
    </row>
    <row r="24" spans="2:19" s="2" customFormat="1" ht="45" customHeight="1" x14ac:dyDescent="0.25">
      <c r="B24" s="1139" t="s">
        <v>413</v>
      </c>
      <c r="C24" s="1140"/>
      <c r="D24" s="1140"/>
      <c r="E24" s="1140"/>
      <c r="F24" s="1141"/>
      <c r="G24" s="1141"/>
      <c r="H24" s="1141"/>
      <c r="I24" s="1141"/>
      <c r="J24" s="1141"/>
      <c r="K24" s="1141"/>
      <c r="L24" s="1141"/>
      <c r="M24" s="1141"/>
      <c r="N24" s="1141"/>
      <c r="O24" s="1142"/>
      <c r="P24" s="498" t="s">
        <v>405</v>
      </c>
      <c r="Q24" s="1141"/>
      <c r="R24" s="1141"/>
      <c r="S24" s="1142"/>
    </row>
    <row r="25" spans="2:19" x14ac:dyDescent="0.25">
      <c r="B25" s="156"/>
      <c r="C25" s="156"/>
      <c r="D25" s="156"/>
      <c r="E25" s="156"/>
      <c r="F25" s="156"/>
      <c r="G25" s="156"/>
      <c r="H25" s="156"/>
      <c r="I25" s="156"/>
      <c r="J25" s="156"/>
      <c r="K25" s="156"/>
      <c r="L25" s="156"/>
      <c r="M25" s="156"/>
      <c r="N25" s="156"/>
      <c r="O25" s="156"/>
      <c r="P25" s="156"/>
      <c r="Q25" s="156"/>
      <c r="R25" s="156"/>
      <c r="S25" s="156"/>
    </row>
  </sheetData>
  <sheetProtection algorithmName="SHA-512" hashValue="rIDtA6CxtRLl5uEPip8zfNYdqNU7i3utpuvEI/RPWQPZB33xVxvKMODEtjSIeKqtGkYMLXl2Xya1cBXiQtaDbA==" saltValue="L7xaTkkM752h+rxphCXqRQ==" spinCount="100000" sheet="1" selectLockedCells="1"/>
  <mergeCells count="42">
    <mergeCell ref="B11:G11"/>
    <mergeCell ref="H11:S11"/>
    <mergeCell ref="H10:S10"/>
    <mergeCell ref="H15:S15"/>
    <mergeCell ref="H14:S14"/>
    <mergeCell ref="H13:S13"/>
    <mergeCell ref="H12:S12"/>
    <mergeCell ref="B10:G10"/>
    <mergeCell ref="B12:G12"/>
    <mergeCell ref="B13:G13"/>
    <mergeCell ref="B14:G14"/>
    <mergeCell ref="B9:D9"/>
    <mergeCell ref="F9:S9"/>
    <mergeCell ref="B7:S7"/>
    <mergeCell ref="D6:J6"/>
    <mergeCell ref="B8:S8"/>
    <mergeCell ref="K6:M6"/>
    <mergeCell ref="N6:S6"/>
    <mergeCell ref="B6:C6"/>
    <mergeCell ref="B22:S22"/>
    <mergeCell ref="B24:E24"/>
    <mergeCell ref="F24:O24"/>
    <mergeCell ref="Q24:S24"/>
    <mergeCell ref="B15:G15"/>
    <mergeCell ref="B23:C23"/>
    <mergeCell ref="Q23:S23"/>
    <mergeCell ref="D23:H23"/>
    <mergeCell ref="I23:J23"/>
    <mergeCell ref="K23:O23"/>
    <mergeCell ref="B16:D19"/>
    <mergeCell ref="E16:S19"/>
    <mergeCell ref="B21:S21"/>
    <mergeCell ref="B20:S20"/>
    <mergeCell ref="B1:S1"/>
    <mergeCell ref="B2:S2"/>
    <mergeCell ref="B4:S4"/>
    <mergeCell ref="B3:P3"/>
    <mergeCell ref="B5:C5"/>
    <mergeCell ref="Q3:S3"/>
    <mergeCell ref="D5:G5"/>
    <mergeCell ref="H5:J5"/>
    <mergeCell ref="K5:S5"/>
  </mergeCells>
  <printOptions horizontalCentered="1" gridLines="1"/>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1EAFEB-F3B8-4A67-A8C6-FB13B91BF8AB}">
          <x14:formula1>
            <xm:f>Lists!$L$1:$L$2</xm:f>
          </x14:formula1>
          <xm:sqref>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E06-3AEB-4E10-9AA8-2F51A56AE12A}">
  <sheetPr>
    <pageSetUpPr fitToPage="1"/>
  </sheetPr>
  <dimension ref="B1:AA291"/>
  <sheetViews>
    <sheetView zoomScale="115" zoomScaleNormal="115" workbookViewId="0">
      <selection activeCell="V8" sqref="V8:X8"/>
    </sheetView>
  </sheetViews>
  <sheetFormatPr defaultColWidth="9.140625" defaultRowHeight="15" x14ac:dyDescent="0.25"/>
  <cols>
    <col min="1" max="1" width="5.7109375" customWidth="1"/>
    <col min="2" max="24" width="4.42578125" customWidth="1"/>
    <col min="25" max="25" width="5.7109375" customWidth="1"/>
  </cols>
  <sheetData>
    <row r="1" spans="2:24" ht="5.0999999999999996" customHeight="1" x14ac:dyDescent="0.25">
      <c r="B1" s="4"/>
      <c r="C1" s="4"/>
      <c r="D1" s="4"/>
      <c r="E1" s="4"/>
      <c r="F1" s="4"/>
      <c r="G1" s="4"/>
      <c r="H1" s="4"/>
      <c r="I1" s="4"/>
      <c r="J1" s="4"/>
      <c r="K1" s="4"/>
      <c r="L1" s="4"/>
      <c r="M1" s="4"/>
      <c r="N1" s="4"/>
      <c r="O1" s="4"/>
      <c r="P1" s="4"/>
      <c r="Q1" s="4"/>
      <c r="R1" s="4"/>
      <c r="S1" s="4"/>
      <c r="T1" s="4"/>
      <c r="U1" s="4"/>
      <c r="V1" s="4"/>
      <c r="W1" s="4"/>
      <c r="X1" s="4"/>
    </row>
    <row r="2" spans="2:24" ht="24.95" customHeight="1" x14ac:dyDescent="0.25">
      <c r="B2" s="1193" t="s">
        <v>587</v>
      </c>
      <c r="C2" s="1193"/>
      <c r="D2" s="1193"/>
      <c r="E2" s="1193"/>
      <c r="F2" s="1193"/>
      <c r="G2" s="1193"/>
      <c r="H2" s="1193"/>
      <c r="I2" s="1193"/>
      <c r="J2" s="1193"/>
      <c r="K2" s="1193"/>
      <c r="L2" s="1193"/>
      <c r="M2" s="1193"/>
      <c r="N2" s="1193"/>
      <c r="O2" s="1193"/>
      <c r="P2" s="1193"/>
      <c r="Q2" s="1193"/>
      <c r="R2" s="1193"/>
      <c r="S2" s="1193"/>
      <c r="T2" s="1193"/>
      <c r="U2" s="1193"/>
      <c r="V2" s="1193"/>
      <c r="W2" s="1193"/>
      <c r="X2" s="1193"/>
    </row>
    <row r="3" spans="2:24" ht="23.25" customHeight="1" x14ac:dyDescent="0.25">
      <c r="B3" s="1192" t="s">
        <v>603</v>
      </c>
      <c r="C3" s="1192"/>
      <c r="D3" s="1192"/>
      <c r="E3" s="1192"/>
      <c r="F3" s="1192"/>
      <c r="G3" s="1192"/>
      <c r="H3" s="1192"/>
      <c r="I3" s="1192"/>
      <c r="J3" s="1192"/>
      <c r="K3" s="1192"/>
      <c r="L3" s="1192"/>
      <c r="M3" s="1192"/>
      <c r="N3" s="1192"/>
      <c r="O3" s="1192"/>
      <c r="P3" s="1192"/>
      <c r="Q3" s="1192"/>
      <c r="R3" s="1192"/>
      <c r="S3" s="1192"/>
      <c r="T3" s="1192"/>
      <c r="U3" s="1192"/>
      <c r="V3" s="1192"/>
      <c r="W3" s="1192"/>
      <c r="X3" s="1192"/>
    </row>
    <row r="4" spans="2:24" ht="14.45" customHeight="1" x14ac:dyDescent="0.25">
      <c r="B4" s="1191" t="s">
        <v>1651</v>
      </c>
      <c r="C4" s="1191"/>
      <c r="D4" s="1191"/>
      <c r="E4" s="1191"/>
      <c r="F4" s="1191"/>
      <c r="G4" s="1191"/>
      <c r="H4" s="1191"/>
      <c r="I4" s="1191"/>
      <c r="J4" s="1191"/>
      <c r="K4" s="1191"/>
      <c r="L4" s="1191"/>
      <c r="M4" s="1191"/>
      <c r="N4" s="1191"/>
      <c r="O4" s="1191"/>
      <c r="P4" s="1191"/>
      <c r="Q4" s="1191"/>
      <c r="R4" s="1191"/>
      <c r="S4" s="1191"/>
      <c r="T4" s="1191"/>
      <c r="U4" s="1191"/>
      <c r="V4" s="1191"/>
      <c r="W4" s="1191"/>
      <c r="X4" s="1191"/>
    </row>
    <row r="5" spans="2:24" x14ac:dyDescent="0.25">
      <c r="B5" s="1191" t="s">
        <v>1650</v>
      </c>
      <c r="C5" s="1191"/>
      <c r="D5" s="1191"/>
      <c r="E5" s="1191"/>
      <c r="F5" s="1191"/>
      <c r="G5" s="1191"/>
      <c r="H5" s="1191"/>
      <c r="I5" s="1191"/>
      <c r="J5" s="1191"/>
      <c r="K5" s="1191"/>
      <c r="L5" s="1191"/>
      <c r="M5" s="1191"/>
      <c r="N5" s="1191"/>
      <c r="O5" s="1191"/>
      <c r="P5" s="1191"/>
      <c r="Q5" s="1191"/>
      <c r="R5" s="1191"/>
      <c r="S5" s="1191"/>
      <c r="T5" s="1191"/>
      <c r="U5" s="1191"/>
      <c r="V5" s="1191"/>
      <c r="W5" s="1191"/>
      <c r="X5" s="1191"/>
    </row>
    <row r="6" spans="2:24" ht="21.95" customHeight="1" x14ac:dyDescent="0.25">
      <c r="B6" s="1258" t="s">
        <v>856</v>
      </c>
      <c r="C6" s="1259"/>
      <c r="D6" s="1259"/>
      <c r="E6" s="1259"/>
      <c r="F6" s="1259"/>
      <c r="G6" s="1259"/>
      <c r="H6" s="1259"/>
      <c r="I6" s="1259"/>
      <c r="J6" s="1259"/>
      <c r="K6" s="1259"/>
      <c r="L6" s="1259"/>
      <c r="M6" s="1259"/>
      <c r="N6" s="1259"/>
      <c r="O6" s="1259"/>
      <c r="P6" s="1259"/>
      <c r="Q6" s="1259"/>
      <c r="R6" s="1259"/>
      <c r="S6" s="1259"/>
      <c r="T6" s="1259"/>
      <c r="U6" s="1259"/>
      <c r="V6" s="1259"/>
      <c r="W6" s="1259"/>
      <c r="X6" s="1260"/>
    </row>
    <row r="7" spans="2:24" ht="20.100000000000001" customHeight="1" x14ac:dyDescent="0.25">
      <c r="B7" s="1218" t="s">
        <v>604</v>
      </c>
      <c r="C7" s="1219"/>
      <c r="D7" s="1219"/>
      <c r="E7" s="1221" t="str">
        <f>IF('Project Information'!E6="","",'Project Information'!E6)</f>
        <v/>
      </c>
      <c r="F7" s="1221"/>
      <c r="G7" s="1221"/>
      <c r="H7" s="1221"/>
      <c r="I7" s="1221"/>
      <c r="J7" s="1221"/>
      <c r="K7" s="1221"/>
      <c r="L7" s="1221"/>
      <c r="M7" s="1221"/>
      <c r="N7" s="318" t="s">
        <v>605</v>
      </c>
      <c r="O7" s="1221" t="str">
        <f>IF('Project Information'!X6="","",'Project Information'!X6)</f>
        <v/>
      </c>
      <c r="P7" s="1221"/>
      <c r="Q7" s="1221"/>
      <c r="R7" s="1221"/>
      <c r="S7" s="319" t="s">
        <v>1</v>
      </c>
      <c r="T7" s="318"/>
      <c r="U7" s="318" t="s">
        <v>606</v>
      </c>
      <c r="V7" s="1221" t="str">
        <f>IF('Project Information'!AK6="","",'Project Information'!AK6)</f>
        <v/>
      </c>
      <c r="W7" s="1221"/>
      <c r="X7" s="1336"/>
    </row>
    <row r="8" spans="2:24" ht="20.100000000000001" customHeight="1" x14ac:dyDescent="0.25">
      <c r="B8" s="1218" t="s">
        <v>853</v>
      </c>
      <c r="C8" s="1219"/>
      <c r="D8" s="1219"/>
      <c r="E8" s="1337" t="str">
        <f>IF('Project Information'!M15="","",'Project Information'!M15)</f>
        <v/>
      </c>
      <c r="F8" s="1337"/>
      <c r="G8" s="1337"/>
      <c r="H8" s="1337"/>
      <c r="I8" s="1337"/>
      <c r="J8" s="1337"/>
      <c r="K8" s="1337"/>
      <c r="L8" s="1337"/>
      <c r="M8" s="1337"/>
      <c r="N8" s="1337"/>
      <c r="O8" s="1337"/>
      <c r="P8" s="1337"/>
      <c r="Q8" s="1220" t="s">
        <v>854</v>
      </c>
      <c r="R8" s="1220"/>
      <c r="S8" s="1220"/>
      <c r="T8" s="1220"/>
      <c r="U8" s="1220"/>
      <c r="V8" s="1334"/>
      <c r="W8" s="1334"/>
      <c r="X8" s="1335"/>
    </row>
    <row r="9" spans="2:24" ht="5.25" customHeight="1" x14ac:dyDescent="0.25">
      <c r="B9" s="1194"/>
      <c r="C9" s="1194"/>
      <c r="D9" s="1194"/>
      <c r="E9" s="1194"/>
      <c r="F9" s="1194"/>
      <c r="G9" s="1194"/>
      <c r="H9" s="1194"/>
      <c r="I9" s="1194"/>
      <c r="J9" s="1194"/>
      <c r="K9" s="1194"/>
      <c r="L9" s="1194"/>
      <c r="M9" s="1194"/>
      <c r="N9" s="1194"/>
      <c r="O9" s="1194"/>
      <c r="P9" s="1194"/>
      <c r="Q9" s="1194"/>
      <c r="R9" s="1194"/>
      <c r="S9" s="1194"/>
      <c r="T9" s="1194"/>
      <c r="U9" s="1194"/>
      <c r="V9" s="1194"/>
      <c r="W9" s="1194"/>
      <c r="X9" s="1194"/>
    </row>
    <row r="10" spans="2:24" ht="21.95" customHeight="1" x14ac:dyDescent="0.25">
      <c r="B10" s="1258" t="s">
        <v>855</v>
      </c>
      <c r="C10" s="1259"/>
      <c r="D10" s="1259"/>
      <c r="E10" s="1259"/>
      <c r="F10" s="1259"/>
      <c r="G10" s="1259"/>
      <c r="H10" s="1259"/>
      <c r="I10" s="1259"/>
      <c r="J10" s="1259"/>
      <c r="K10" s="1259"/>
      <c r="L10" s="1259"/>
      <c r="M10" s="1259"/>
      <c r="N10" s="1259"/>
      <c r="O10" s="1259"/>
      <c r="P10" s="1259"/>
      <c r="Q10" s="1259"/>
      <c r="R10" s="1259"/>
      <c r="S10" s="1259"/>
      <c r="T10" s="1259"/>
      <c r="U10" s="1259"/>
      <c r="V10" s="1259"/>
      <c r="W10" s="1259"/>
      <c r="X10" s="1260"/>
    </row>
    <row r="11" spans="2:24" ht="15.95" customHeight="1" x14ac:dyDescent="0.25">
      <c r="B11" s="1213" t="s">
        <v>607</v>
      </c>
      <c r="C11" s="1214"/>
      <c r="D11" s="1214"/>
      <c r="E11" s="1214"/>
      <c r="F11" s="1214"/>
      <c r="G11" s="1214"/>
      <c r="H11" s="1214"/>
      <c r="I11" s="1214"/>
      <c r="J11" s="1214"/>
      <c r="K11" s="1214"/>
      <c r="L11" s="1214"/>
      <c r="M11" s="1214"/>
      <c r="N11" s="1214"/>
      <c r="O11" s="1214"/>
      <c r="P11" s="246"/>
      <c r="Q11" s="1266" t="s">
        <v>608</v>
      </c>
      <c r="R11" s="1266"/>
      <c r="S11" s="1266"/>
      <c r="T11" s="246"/>
      <c r="U11" s="1266" t="s">
        <v>407</v>
      </c>
      <c r="V11" s="1266"/>
      <c r="W11" s="1266"/>
      <c r="X11" s="1267"/>
    </row>
    <row r="12" spans="2:24" ht="45" customHeight="1" x14ac:dyDescent="0.25">
      <c r="B12" s="1339" t="s">
        <v>609</v>
      </c>
      <c r="C12" s="1308"/>
      <c r="D12" s="1308"/>
      <c r="E12" s="1308"/>
      <c r="F12" s="1308"/>
      <c r="G12" s="1308"/>
      <c r="H12" s="1308"/>
      <c r="I12" s="1308"/>
      <c r="J12" s="1308"/>
      <c r="K12" s="1308"/>
      <c r="L12" s="1308"/>
      <c r="M12" s="1308"/>
      <c r="N12" s="1308"/>
      <c r="O12" s="1308"/>
      <c r="P12" s="1308"/>
      <c r="Q12" s="1308"/>
      <c r="R12" s="1308"/>
      <c r="S12" s="1308"/>
      <c r="T12" s="1308"/>
      <c r="U12" s="1308"/>
      <c r="V12" s="1308"/>
      <c r="W12" s="1308"/>
      <c r="X12" s="1309"/>
    </row>
    <row r="13" spans="2:24" ht="20.100000000000001" customHeight="1" x14ac:dyDescent="0.25">
      <c r="B13" s="247"/>
      <c r="C13" s="1197" t="s">
        <v>610</v>
      </c>
      <c r="D13" s="1197"/>
      <c r="E13" s="1197"/>
      <c r="F13" s="1197"/>
      <c r="G13" s="1197"/>
      <c r="H13" s="1310" t="s">
        <v>611</v>
      </c>
      <c r="I13" s="1311"/>
      <c r="J13" s="1332"/>
      <c r="K13" s="1332"/>
      <c r="L13" s="1332"/>
      <c r="M13" s="1332"/>
      <c r="N13" s="1332"/>
      <c r="O13" s="1332"/>
      <c r="P13" s="1332"/>
      <c r="Q13" s="1332"/>
      <c r="R13" s="1332"/>
      <c r="S13" s="1332"/>
      <c r="T13" s="1332"/>
      <c r="U13" s="1332"/>
      <c r="V13" s="1332"/>
      <c r="W13" s="1332"/>
      <c r="X13" s="1333"/>
    </row>
    <row r="14" spans="2:24" ht="20.100000000000001" customHeight="1" x14ac:dyDescent="0.25">
      <c r="B14" s="247"/>
      <c r="C14" s="1197" t="s">
        <v>612</v>
      </c>
      <c r="D14" s="1197"/>
      <c r="E14" s="1197"/>
      <c r="F14" s="1197"/>
      <c r="G14" s="1197"/>
      <c r="H14" s="1310" t="s">
        <v>611</v>
      </c>
      <c r="I14" s="1311"/>
      <c r="J14" s="1332"/>
      <c r="K14" s="1332"/>
      <c r="L14" s="1332"/>
      <c r="M14" s="1332"/>
      <c r="N14" s="1332"/>
      <c r="O14" s="1332"/>
      <c r="P14" s="1332"/>
      <c r="Q14" s="1332"/>
      <c r="R14" s="1332"/>
      <c r="S14" s="1332"/>
      <c r="T14" s="1332"/>
      <c r="U14" s="1332"/>
      <c r="V14" s="1332"/>
      <c r="W14" s="1332"/>
      <c r="X14" s="1333"/>
    </row>
    <row r="15" spans="2:24" ht="20.100000000000001" customHeight="1" x14ac:dyDescent="0.25">
      <c r="B15" s="247"/>
      <c r="C15" s="1338" t="s">
        <v>613</v>
      </c>
      <c r="D15" s="1338"/>
      <c r="E15" s="1338"/>
      <c r="F15" s="1338"/>
      <c r="G15" s="1338"/>
      <c r="H15" s="1310" t="s">
        <v>611</v>
      </c>
      <c r="I15" s="1311"/>
      <c r="J15" s="1332"/>
      <c r="K15" s="1332"/>
      <c r="L15" s="1332"/>
      <c r="M15" s="1332"/>
      <c r="N15" s="1332"/>
      <c r="O15" s="1332"/>
      <c r="P15" s="1332"/>
      <c r="Q15" s="1332"/>
      <c r="R15" s="1332"/>
      <c r="S15" s="1332"/>
      <c r="T15" s="1332"/>
      <c r="U15" s="1332"/>
      <c r="V15" s="1332"/>
      <c r="W15" s="1332"/>
      <c r="X15" s="1333"/>
    </row>
    <row r="16" spans="2:24" ht="20.100000000000001" customHeight="1" x14ac:dyDescent="0.25">
      <c r="B16" s="247"/>
      <c r="C16" s="248" t="s">
        <v>614</v>
      </c>
      <c r="D16" s="1331"/>
      <c r="E16" s="1331"/>
      <c r="F16" s="1331"/>
      <c r="G16" s="1331"/>
      <c r="H16" s="1310" t="s">
        <v>611</v>
      </c>
      <c r="I16" s="1311"/>
      <c r="J16" s="1332"/>
      <c r="K16" s="1332"/>
      <c r="L16" s="1332"/>
      <c r="M16" s="1332"/>
      <c r="N16" s="1332"/>
      <c r="O16" s="1332"/>
      <c r="P16" s="1332"/>
      <c r="Q16" s="1332"/>
      <c r="R16" s="1332"/>
      <c r="S16" s="1332"/>
      <c r="T16" s="1332"/>
      <c r="U16" s="1332"/>
      <c r="V16" s="1332"/>
      <c r="W16" s="1332"/>
      <c r="X16" s="1333"/>
    </row>
    <row r="17" spans="2:27" ht="15.95" customHeight="1" x14ac:dyDescent="0.25">
      <c r="B17" s="1268" t="s">
        <v>615</v>
      </c>
      <c r="C17" s="1269"/>
      <c r="D17" s="1269"/>
      <c r="E17" s="1269"/>
      <c r="F17" s="1269"/>
      <c r="G17" s="1269"/>
      <c r="H17" s="1269"/>
      <c r="I17" s="1269"/>
      <c r="J17" s="1269"/>
      <c r="K17" s="1269"/>
      <c r="L17" s="1269"/>
      <c r="M17" s="1269"/>
      <c r="N17" s="1269"/>
      <c r="O17" s="1269"/>
      <c r="P17" s="249"/>
      <c r="Q17" s="1270" t="s">
        <v>608</v>
      </c>
      <c r="R17" s="1270"/>
      <c r="S17" s="1270"/>
      <c r="T17" s="249"/>
      <c r="U17" s="1270" t="s">
        <v>407</v>
      </c>
      <c r="V17" s="1270"/>
      <c r="W17" s="1270"/>
      <c r="X17" s="1271"/>
    </row>
    <row r="18" spans="2:27" ht="24" customHeight="1" x14ac:dyDescent="0.25">
      <c r="B18" s="1290" t="s">
        <v>616</v>
      </c>
      <c r="C18" s="1293"/>
      <c r="D18" s="1293"/>
      <c r="E18" s="1293"/>
      <c r="F18" s="1293"/>
      <c r="G18" s="1293"/>
      <c r="H18" s="1293"/>
      <c r="I18" s="1293"/>
      <c r="J18" s="1293"/>
      <c r="K18" s="1293"/>
      <c r="L18" s="1293"/>
      <c r="M18" s="1293"/>
      <c r="N18" s="1293"/>
      <c r="O18" s="1293"/>
      <c r="P18" s="1293"/>
      <c r="Q18" s="1293"/>
      <c r="R18" s="1293"/>
      <c r="S18" s="1293"/>
      <c r="T18" s="1293"/>
      <c r="U18" s="1293"/>
      <c r="V18" s="1293"/>
      <c r="W18" s="1293"/>
      <c r="X18" s="1294"/>
    </row>
    <row r="19" spans="2:27" ht="20.100000000000001" customHeight="1" x14ac:dyDescent="0.25">
      <c r="B19" s="247"/>
      <c r="C19" s="1196" t="s">
        <v>617</v>
      </c>
      <c r="D19" s="1197"/>
      <c r="E19" s="1197"/>
      <c r="F19" s="1197"/>
      <c r="G19" s="1197"/>
      <c r="H19" s="1197"/>
      <c r="I19" s="1197"/>
      <c r="J19" s="1197"/>
      <c r="K19" s="1197"/>
      <c r="L19" s="1197"/>
      <c r="M19" s="1197"/>
      <c r="N19" s="1198"/>
      <c r="O19" s="247"/>
      <c r="P19" s="1196" t="s">
        <v>618</v>
      </c>
      <c r="Q19" s="1197"/>
      <c r="R19" s="1197"/>
      <c r="S19" s="1197"/>
      <c r="T19" s="1197"/>
      <c r="U19" s="1197"/>
      <c r="V19" s="1197"/>
      <c r="W19" s="1197"/>
      <c r="X19" s="1198"/>
      <c r="AA19" s="193"/>
    </row>
    <row r="20" spans="2:27" ht="20.100000000000001" customHeight="1" x14ac:dyDescent="0.25">
      <c r="B20" s="247"/>
      <c r="C20" s="1196" t="s">
        <v>619</v>
      </c>
      <c r="D20" s="1197"/>
      <c r="E20" s="1197"/>
      <c r="F20" s="1197"/>
      <c r="G20" s="1197"/>
      <c r="H20" s="1197"/>
      <c r="I20" s="1197"/>
      <c r="J20" s="1197"/>
      <c r="K20" s="1197"/>
      <c r="L20" s="1197"/>
      <c r="M20" s="1197"/>
      <c r="N20" s="1198"/>
      <c r="O20" s="247"/>
      <c r="P20" s="1196" t="s">
        <v>620</v>
      </c>
      <c r="Q20" s="1197"/>
      <c r="R20" s="1197"/>
      <c r="S20" s="1197"/>
      <c r="T20" s="1197"/>
      <c r="U20" s="1197"/>
      <c r="V20" s="1197"/>
      <c r="W20" s="1197"/>
      <c r="X20" s="1198"/>
      <c r="AA20" s="193"/>
    </row>
    <row r="21" spans="2:27" ht="20.100000000000001" customHeight="1" x14ac:dyDescent="0.25">
      <c r="B21" s="247"/>
      <c r="C21" s="1196" t="s">
        <v>621</v>
      </c>
      <c r="D21" s="1197"/>
      <c r="E21" s="1197"/>
      <c r="F21" s="1197"/>
      <c r="G21" s="1197"/>
      <c r="H21" s="1197"/>
      <c r="I21" s="1197"/>
      <c r="J21" s="1197"/>
      <c r="K21" s="1197"/>
      <c r="L21" s="1197"/>
      <c r="M21" s="1197"/>
      <c r="N21" s="1198"/>
      <c r="O21" s="247"/>
      <c r="P21" s="1196" t="s">
        <v>622</v>
      </c>
      <c r="Q21" s="1197"/>
      <c r="R21" s="1197"/>
      <c r="S21" s="1197"/>
      <c r="T21" s="1197"/>
      <c r="U21" s="1197"/>
      <c r="V21" s="1197"/>
      <c r="W21" s="1197"/>
      <c r="X21" s="1198"/>
      <c r="AA21" s="193"/>
    </row>
    <row r="22" spans="2:27" ht="20.100000000000001" customHeight="1" x14ac:dyDescent="0.25">
      <c r="B22" s="247"/>
      <c r="C22" s="1326" t="s">
        <v>623</v>
      </c>
      <c r="D22" s="1327"/>
      <c r="E22" s="1327"/>
      <c r="F22" s="1327"/>
      <c r="G22" s="1327"/>
      <c r="H22" s="1327"/>
      <c r="I22" s="1327"/>
      <c r="J22" s="1327"/>
      <c r="K22" s="1327"/>
      <c r="L22" s="1327"/>
      <c r="M22" s="1327"/>
      <c r="N22" s="1327"/>
      <c r="O22" s="1327"/>
      <c r="P22" s="1327"/>
      <c r="Q22" s="1327"/>
      <c r="R22" s="1327"/>
      <c r="S22" s="1327"/>
      <c r="T22" s="1327"/>
      <c r="U22" s="1327"/>
      <c r="V22" s="1327"/>
      <c r="W22" s="1327"/>
      <c r="X22" s="1328"/>
      <c r="AA22" s="193"/>
    </row>
    <row r="23" spans="2:27" ht="43.5" customHeight="1" x14ac:dyDescent="0.25">
      <c r="B23" s="54"/>
      <c r="C23" s="1329"/>
      <c r="D23" s="1329"/>
      <c r="E23" s="1329"/>
      <c r="F23" s="1329"/>
      <c r="G23" s="1329"/>
      <c r="H23" s="1329"/>
      <c r="I23" s="1329"/>
      <c r="J23" s="1329"/>
      <c r="K23" s="1329"/>
      <c r="L23" s="1329"/>
      <c r="M23" s="1329"/>
      <c r="N23" s="1329"/>
      <c r="O23" s="1329"/>
      <c r="P23" s="1329"/>
      <c r="Q23" s="1329"/>
      <c r="R23" s="1329"/>
      <c r="S23" s="1329"/>
      <c r="T23" s="1329"/>
      <c r="U23" s="1329"/>
      <c r="V23" s="1329"/>
      <c r="W23" s="1329"/>
      <c r="X23" s="1330"/>
      <c r="AA23" s="193"/>
    </row>
    <row r="24" spans="2:27" ht="20.100000000000001" customHeight="1" x14ac:dyDescent="0.25">
      <c r="B24" s="247"/>
      <c r="C24" s="1317" t="s">
        <v>624</v>
      </c>
      <c r="D24" s="1317"/>
      <c r="E24" s="1317"/>
      <c r="F24" s="1318"/>
      <c r="G24" s="1310" t="s">
        <v>625</v>
      </c>
      <c r="H24" s="1311"/>
      <c r="I24" s="1315"/>
      <c r="J24" s="1315"/>
      <c r="K24" s="1315"/>
      <c r="L24" s="1315"/>
      <c r="M24" s="1315"/>
      <c r="N24" s="1315"/>
      <c r="O24" s="1316"/>
      <c r="P24" s="1310" t="s">
        <v>626</v>
      </c>
      <c r="Q24" s="1311"/>
      <c r="R24" s="1315"/>
      <c r="S24" s="1315"/>
      <c r="T24" s="1315"/>
      <c r="U24" s="1315"/>
      <c r="V24" s="1315"/>
      <c r="W24" s="1315"/>
      <c r="X24" s="1316"/>
      <c r="AA24" s="193"/>
    </row>
    <row r="25" spans="2:27" ht="20.100000000000001" customHeight="1" x14ac:dyDescent="0.25">
      <c r="B25" s="1319"/>
      <c r="C25" s="1320" t="s">
        <v>627</v>
      </c>
      <c r="D25" s="1320"/>
      <c r="E25" s="1320"/>
      <c r="F25" s="1321"/>
      <c r="G25" s="1310" t="s">
        <v>625</v>
      </c>
      <c r="H25" s="1311"/>
      <c r="I25" s="1324"/>
      <c r="J25" s="1324"/>
      <c r="K25" s="1324"/>
      <c r="L25" s="1324"/>
      <c r="M25" s="1324"/>
      <c r="N25" s="1324"/>
      <c r="O25" s="1325"/>
      <c r="P25" s="250" t="s">
        <v>628</v>
      </c>
      <c r="Q25" s="1313"/>
      <c r="R25" s="1314"/>
      <c r="S25" s="1310" t="s">
        <v>629</v>
      </c>
      <c r="T25" s="1311"/>
      <c r="U25" s="1311"/>
      <c r="V25" s="1312"/>
      <c r="W25" s="1313"/>
      <c r="X25" s="1314"/>
      <c r="AA25" s="193"/>
    </row>
    <row r="26" spans="2:27" ht="20.100000000000001" customHeight="1" x14ac:dyDescent="0.25">
      <c r="B26" s="1319"/>
      <c r="C26" s="1322"/>
      <c r="D26" s="1322"/>
      <c r="E26" s="1322"/>
      <c r="F26" s="1323"/>
      <c r="G26" s="1310" t="s">
        <v>626</v>
      </c>
      <c r="H26" s="1311"/>
      <c r="I26" s="1315"/>
      <c r="J26" s="1315"/>
      <c r="K26" s="1315"/>
      <c r="L26" s="1315"/>
      <c r="M26" s="1315"/>
      <c r="N26" s="1315"/>
      <c r="O26" s="1316"/>
      <c r="P26" s="250" t="s">
        <v>628</v>
      </c>
      <c r="Q26" s="1313"/>
      <c r="R26" s="1314"/>
      <c r="S26" s="1310" t="s">
        <v>629</v>
      </c>
      <c r="T26" s="1311"/>
      <c r="U26" s="1311"/>
      <c r="V26" s="1312"/>
      <c r="W26" s="1313"/>
      <c r="X26" s="1314"/>
      <c r="AA26" s="193"/>
    </row>
    <row r="27" spans="2:27" ht="20.100000000000001" customHeight="1" x14ac:dyDescent="0.25">
      <c r="B27" s="247"/>
      <c r="C27" s="1261" t="s">
        <v>630</v>
      </c>
      <c r="D27" s="1261"/>
      <c r="E27" s="1261"/>
      <c r="F27" s="1261"/>
      <c r="G27" s="1261"/>
      <c r="H27" s="1261"/>
      <c r="I27" s="1261"/>
      <c r="J27" s="1261"/>
      <c r="K27" s="1261"/>
      <c r="L27" s="1261"/>
      <c r="M27" s="1261"/>
      <c r="N27" s="1261"/>
      <c r="O27" s="1261"/>
      <c r="P27" s="1261"/>
      <c r="Q27" s="1261"/>
      <c r="R27" s="1261"/>
      <c r="S27" s="1261"/>
      <c r="T27" s="1261"/>
      <c r="U27" s="1261"/>
      <c r="V27" s="1261"/>
      <c r="W27" s="1261"/>
      <c r="X27" s="1262"/>
    </row>
    <row r="28" spans="2:27" ht="20.100000000000001" customHeight="1" x14ac:dyDescent="0.25">
      <c r="B28" s="247"/>
      <c r="C28" s="1261" t="s">
        <v>631</v>
      </c>
      <c r="D28" s="1261"/>
      <c r="E28" s="1261"/>
      <c r="F28" s="1261"/>
      <c r="G28" s="1261"/>
      <c r="H28" s="1261"/>
      <c r="I28" s="1261"/>
      <c r="J28" s="1261"/>
      <c r="K28" s="1261"/>
      <c r="L28" s="1261"/>
      <c r="M28" s="1261"/>
      <c r="N28" s="1261"/>
      <c r="O28" s="1261"/>
      <c r="P28" s="1261"/>
      <c r="Q28" s="1261"/>
      <c r="R28" s="1261"/>
      <c r="S28" s="1261"/>
      <c r="T28" s="1261"/>
      <c r="U28" s="1261"/>
      <c r="V28" s="1261"/>
      <c r="W28" s="1261"/>
      <c r="X28" s="1262"/>
    </row>
    <row r="29" spans="2:27" ht="43.5" customHeight="1" x14ac:dyDescent="0.25">
      <c r="B29" s="251" t="s">
        <v>632</v>
      </c>
      <c r="C29" s="1302"/>
      <c r="D29" s="1302"/>
      <c r="E29" s="1302"/>
      <c r="F29" s="1302"/>
      <c r="G29" s="1302"/>
      <c r="H29" s="1302"/>
      <c r="I29" s="1302"/>
      <c r="J29" s="1302"/>
      <c r="K29" s="1302"/>
      <c r="L29" s="1302"/>
      <c r="M29" s="1302"/>
      <c r="N29" s="1302"/>
      <c r="O29" s="1302"/>
      <c r="P29" s="1302"/>
      <c r="Q29" s="1302"/>
      <c r="R29" s="1302"/>
      <c r="S29" s="1302"/>
      <c r="T29" s="1302"/>
      <c r="U29" s="1302"/>
      <c r="V29" s="1302"/>
      <c r="W29" s="1302"/>
      <c r="X29" s="1303"/>
    </row>
    <row r="30" spans="2:27" ht="20.100000000000001" customHeight="1" x14ac:dyDescent="0.25">
      <c r="B30" s="1304" t="s">
        <v>633</v>
      </c>
      <c r="C30" s="1305"/>
      <c r="D30" s="1305"/>
      <c r="E30" s="1305"/>
      <c r="F30" s="1305"/>
      <c r="G30" s="1305"/>
      <c r="H30" s="1305"/>
      <c r="I30" s="1305"/>
      <c r="J30" s="1305"/>
      <c r="K30" s="1305"/>
      <c r="L30" s="1305"/>
      <c r="M30" s="1305"/>
      <c r="N30" s="1305"/>
      <c r="O30" s="1305"/>
      <c r="P30" s="1305"/>
      <c r="Q30" s="1305"/>
      <c r="R30" s="1305"/>
      <c r="S30" s="1305"/>
      <c r="T30" s="1305"/>
      <c r="U30" s="1305"/>
      <c r="V30" s="1305"/>
      <c r="W30" s="1305"/>
      <c r="X30" s="1306"/>
    </row>
    <row r="31" spans="2:27" ht="20.100000000000001" customHeight="1" x14ac:dyDescent="0.25">
      <c r="B31" s="1307"/>
      <c r="C31" s="1308"/>
      <c r="D31" s="1308"/>
      <c r="E31" s="1308"/>
      <c r="F31" s="1308"/>
      <c r="G31" s="1308"/>
      <c r="H31" s="1308"/>
      <c r="I31" s="1308"/>
      <c r="J31" s="1308"/>
      <c r="K31" s="1308"/>
      <c r="L31" s="1308"/>
      <c r="M31" s="1308"/>
      <c r="N31" s="1308"/>
      <c r="O31" s="1308"/>
      <c r="P31" s="1308"/>
      <c r="Q31" s="1308"/>
      <c r="R31" s="1308"/>
      <c r="S31" s="1308"/>
      <c r="T31" s="1308"/>
      <c r="U31" s="1308"/>
      <c r="V31" s="1308"/>
      <c r="W31" s="1308"/>
      <c r="X31" s="1309"/>
    </row>
    <row r="32" spans="2:27" ht="5.25" customHeight="1" x14ac:dyDescent="0.25">
      <c r="B32" s="1195"/>
      <c r="C32" s="1195"/>
      <c r="D32" s="1195"/>
      <c r="E32" s="1195"/>
      <c r="F32" s="1195"/>
      <c r="G32" s="1195"/>
      <c r="H32" s="1195"/>
      <c r="I32" s="1195"/>
      <c r="J32" s="1195"/>
      <c r="K32" s="1195"/>
      <c r="L32" s="1195"/>
      <c r="M32" s="1195"/>
      <c r="N32" s="1195"/>
      <c r="O32" s="1195"/>
      <c r="P32" s="1195"/>
      <c r="Q32" s="1195"/>
      <c r="R32" s="1195"/>
      <c r="S32" s="1195"/>
      <c r="T32" s="1195"/>
      <c r="U32" s="1195"/>
      <c r="V32" s="1195"/>
      <c r="W32" s="1195"/>
      <c r="X32" s="1195"/>
    </row>
    <row r="33" spans="2:24" ht="21.95" customHeight="1" x14ac:dyDescent="0.25">
      <c r="B33" s="1258" t="s">
        <v>857</v>
      </c>
      <c r="C33" s="1259"/>
      <c r="D33" s="1259"/>
      <c r="E33" s="1259"/>
      <c r="F33" s="1259"/>
      <c r="G33" s="1259"/>
      <c r="H33" s="1259"/>
      <c r="I33" s="1259"/>
      <c r="J33" s="1259"/>
      <c r="K33" s="1259"/>
      <c r="L33" s="1259"/>
      <c r="M33" s="1259"/>
      <c r="N33" s="1259"/>
      <c r="O33" s="1259"/>
      <c r="P33" s="1259"/>
      <c r="Q33" s="1259"/>
      <c r="R33" s="1259"/>
      <c r="S33" s="1259"/>
      <c r="T33" s="1259"/>
      <c r="U33" s="1259"/>
      <c r="V33" s="1259"/>
      <c r="W33" s="1259"/>
      <c r="X33" s="1260"/>
    </row>
    <row r="34" spans="2:24" ht="15.95" customHeight="1" x14ac:dyDescent="0.25">
      <c r="B34" s="1268" t="s">
        <v>634</v>
      </c>
      <c r="C34" s="1269"/>
      <c r="D34" s="1269"/>
      <c r="E34" s="1269"/>
      <c r="F34" s="1269"/>
      <c r="G34" s="1269"/>
      <c r="H34" s="1269"/>
      <c r="I34" s="1269"/>
      <c r="J34" s="1269"/>
      <c r="K34" s="1269"/>
      <c r="L34" s="1269"/>
      <c r="M34" s="1269"/>
      <c r="N34" s="1269"/>
      <c r="O34" s="1269"/>
      <c r="P34" s="249"/>
      <c r="Q34" s="1270" t="s">
        <v>608</v>
      </c>
      <c r="R34" s="1270"/>
      <c r="S34" s="1270"/>
      <c r="T34" s="249"/>
      <c r="U34" s="1270" t="s">
        <v>407</v>
      </c>
      <c r="V34" s="1270"/>
      <c r="W34" s="1270"/>
      <c r="X34" s="1271"/>
    </row>
    <row r="35" spans="2:24" ht="20.100000000000001" customHeight="1" x14ac:dyDescent="0.25">
      <c r="B35" s="247"/>
      <c r="C35" s="1209" t="s">
        <v>635</v>
      </c>
      <c r="D35" s="1209"/>
      <c r="E35" s="1209"/>
      <c r="F35" s="1209"/>
      <c r="G35" s="1209"/>
      <c r="H35" s="1209"/>
      <c r="I35" s="1209"/>
      <c r="J35" s="1209"/>
      <c r="K35" s="1209"/>
      <c r="L35" s="1209"/>
      <c r="M35" s="1209"/>
      <c r="N35" s="1209"/>
      <c r="O35" s="1209"/>
      <c r="P35" s="1209"/>
      <c r="Q35" s="1209"/>
      <c r="R35" s="1209"/>
      <c r="S35" s="1209"/>
      <c r="T35" s="1209"/>
      <c r="U35" s="1209"/>
      <c r="V35" s="1209"/>
      <c r="W35" s="1209"/>
      <c r="X35" s="1295"/>
    </row>
    <row r="36" spans="2:24" ht="15.95" customHeight="1" x14ac:dyDescent="0.25">
      <c r="B36" s="1268" t="s">
        <v>636</v>
      </c>
      <c r="C36" s="1269"/>
      <c r="D36" s="1269"/>
      <c r="E36" s="1269"/>
      <c r="F36" s="1269"/>
      <c r="G36" s="1269"/>
      <c r="H36" s="1269"/>
      <c r="I36" s="1269"/>
      <c r="J36" s="1269"/>
      <c r="K36" s="1269"/>
      <c r="L36" s="1269"/>
      <c r="M36" s="1269"/>
      <c r="N36" s="1269"/>
      <c r="O36" s="1269"/>
      <c r="P36" s="249"/>
      <c r="Q36" s="1270" t="s">
        <v>608</v>
      </c>
      <c r="R36" s="1270"/>
      <c r="S36" s="1270"/>
      <c r="T36" s="249"/>
      <c r="U36" s="1270" t="s">
        <v>407</v>
      </c>
      <c r="V36" s="1270"/>
      <c r="W36" s="1270"/>
      <c r="X36" s="1271"/>
    </row>
    <row r="37" spans="2:24" ht="15.95" customHeight="1" x14ac:dyDescent="0.25">
      <c r="B37" s="252" t="s">
        <v>637</v>
      </c>
      <c r="C37" s="320"/>
      <c r="D37" s="320"/>
      <c r="E37" s="320"/>
      <c r="F37" s="320"/>
      <c r="G37" s="320"/>
      <c r="H37" s="320"/>
      <c r="I37" s="320"/>
      <c r="J37" s="320"/>
      <c r="K37" s="320"/>
      <c r="L37" s="320"/>
      <c r="N37" s="247"/>
      <c r="O37" s="321" t="s">
        <v>638</v>
      </c>
      <c r="P37" s="247"/>
      <c r="Q37" s="321" t="s">
        <v>639</v>
      </c>
      <c r="R37" s="247"/>
      <c r="S37" s="322" t="s">
        <v>83</v>
      </c>
      <c r="T37" s="4"/>
      <c r="U37" s="553"/>
      <c r="V37" s="553"/>
      <c r="W37" s="553"/>
      <c r="X37" s="1299"/>
    </row>
    <row r="38" spans="2:24" ht="17.100000000000001" customHeight="1" x14ac:dyDescent="0.25">
      <c r="B38" s="1296" t="s">
        <v>640</v>
      </c>
      <c r="C38" s="1297"/>
      <c r="D38" s="1297"/>
      <c r="E38" s="1297"/>
      <c r="F38" s="1297"/>
      <c r="G38" s="1297"/>
      <c r="H38" s="1297"/>
      <c r="I38" s="1297"/>
      <c r="J38" s="1297"/>
      <c r="K38" s="1297"/>
      <c r="L38" s="1297"/>
      <c r="M38" s="1297"/>
      <c r="N38" s="1297"/>
      <c r="O38" s="1297"/>
      <c r="P38" s="1297"/>
      <c r="Q38" s="1297"/>
      <c r="R38" s="1297"/>
      <c r="S38" s="1297"/>
      <c r="T38" s="1297"/>
      <c r="U38" s="1297"/>
      <c r="V38" s="1297"/>
      <c r="W38" s="1297"/>
      <c r="X38" s="1298"/>
    </row>
    <row r="39" spans="2:24" ht="17.100000000000001" customHeight="1" x14ac:dyDescent="0.25">
      <c r="B39" s="1296"/>
      <c r="C39" s="1297"/>
      <c r="D39" s="1297"/>
      <c r="E39" s="1297"/>
      <c r="F39" s="1297"/>
      <c r="G39" s="1297"/>
      <c r="H39" s="1297"/>
      <c r="I39" s="1297"/>
      <c r="J39" s="1297"/>
      <c r="K39" s="1297"/>
      <c r="L39" s="1297"/>
      <c r="M39" s="1297"/>
      <c r="N39" s="1297"/>
      <c r="O39" s="1297"/>
      <c r="P39" s="1297"/>
      <c r="Q39" s="1297"/>
      <c r="R39" s="1297"/>
      <c r="S39" s="1297"/>
      <c r="T39" s="1297"/>
      <c r="U39" s="1297"/>
      <c r="V39" s="1297"/>
      <c r="W39" s="1297"/>
      <c r="X39" s="1298"/>
    </row>
    <row r="40" spans="2:24" ht="17.100000000000001" customHeight="1" x14ac:dyDescent="0.25">
      <c r="B40" s="1296"/>
      <c r="C40" s="1297"/>
      <c r="D40" s="1297"/>
      <c r="E40" s="1297"/>
      <c r="F40" s="1297"/>
      <c r="G40" s="1297"/>
      <c r="H40" s="1297"/>
      <c r="I40" s="1297"/>
      <c r="J40" s="1297"/>
      <c r="K40" s="1297"/>
      <c r="L40" s="1297"/>
      <c r="M40" s="1297"/>
      <c r="N40" s="1297"/>
      <c r="O40" s="1297"/>
      <c r="P40" s="1297"/>
      <c r="Q40" s="1297"/>
      <c r="R40" s="1297"/>
      <c r="S40" s="1297"/>
      <c r="T40" s="1297"/>
      <c r="U40" s="1297"/>
      <c r="V40" s="1297"/>
      <c r="W40" s="1297"/>
      <c r="X40" s="1298"/>
    </row>
    <row r="41" spans="2:24" ht="17.100000000000001" customHeight="1" x14ac:dyDescent="0.25">
      <c r="B41" s="1296"/>
      <c r="C41" s="1297"/>
      <c r="D41" s="1297"/>
      <c r="E41" s="1297"/>
      <c r="F41" s="1297"/>
      <c r="G41" s="1297"/>
      <c r="H41" s="1297"/>
      <c r="I41" s="1297"/>
      <c r="J41" s="1297"/>
      <c r="K41" s="1297"/>
      <c r="L41" s="1297"/>
      <c r="M41" s="1297"/>
      <c r="N41" s="1297"/>
      <c r="O41" s="1297"/>
      <c r="P41" s="1297"/>
      <c r="Q41" s="1297"/>
      <c r="R41" s="1297"/>
      <c r="S41" s="1297"/>
      <c r="T41" s="1297"/>
      <c r="U41" s="1297"/>
      <c r="V41" s="1297"/>
      <c r="W41" s="1297"/>
      <c r="X41" s="1298"/>
    </row>
    <row r="42" spans="2:24" ht="25.5" customHeight="1" x14ac:dyDescent="0.25">
      <c r="B42" s="1296"/>
      <c r="C42" s="1297"/>
      <c r="D42" s="1297"/>
      <c r="E42" s="1297"/>
      <c r="F42" s="1297"/>
      <c r="G42" s="1297"/>
      <c r="H42" s="1297"/>
      <c r="I42" s="1297"/>
      <c r="J42" s="1297"/>
      <c r="K42" s="1297"/>
      <c r="L42" s="1297"/>
      <c r="M42" s="1297"/>
      <c r="N42" s="1297"/>
      <c r="O42" s="1297"/>
      <c r="P42" s="1297"/>
      <c r="Q42" s="1297"/>
      <c r="R42" s="1297"/>
      <c r="S42" s="1297"/>
      <c r="T42" s="1297"/>
      <c r="U42" s="1297"/>
      <c r="V42" s="1297"/>
      <c r="W42" s="1297"/>
      <c r="X42" s="1298"/>
    </row>
    <row r="43" spans="2:24" s="44" customFormat="1" ht="24.95" customHeight="1" x14ac:dyDescent="0.25">
      <c r="B43" s="1263" t="s">
        <v>641</v>
      </c>
      <c r="C43" s="1264"/>
      <c r="D43" s="1264"/>
      <c r="E43" s="1264"/>
      <c r="F43" s="1264"/>
      <c r="G43" s="1264"/>
      <c r="H43" s="1264"/>
      <c r="I43" s="1264"/>
      <c r="J43" s="1264"/>
      <c r="K43" s="1264"/>
      <c r="L43" s="1264"/>
      <c r="M43" s="1264"/>
      <c r="N43" s="1264"/>
      <c r="O43" s="1264"/>
      <c r="P43" s="1264"/>
      <c r="Q43" s="1264"/>
      <c r="R43" s="1264"/>
      <c r="S43" s="1264"/>
      <c r="T43" s="1264"/>
      <c r="U43" s="1264"/>
      <c r="V43" s="1264"/>
      <c r="W43" s="1264"/>
      <c r="X43" s="1265"/>
    </row>
    <row r="44" spans="2:24" ht="15.95" customHeight="1" x14ac:dyDescent="0.25">
      <c r="B44" s="1213" t="s">
        <v>642</v>
      </c>
      <c r="C44" s="1214"/>
      <c r="D44" s="1214"/>
      <c r="E44" s="1214"/>
      <c r="F44" s="1214"/>
      <c r="G44" s="1214"/>
      <c r="H44" s="1214"/>
      <c r="I44" s="1214"/>
      <c r="J44" s="1214"/>
      <c r="K44" s="1214"/>
      <c r="L44" s="1214"/>
      <c r="M44" s="1214"/>
      <c r="N44" s="1214"/>
      <c r="O44" s="1214"/>
      <c r="P44" s="249"/>
      <c r="Q44" s="1266" t="s">
        <v>608</v>
      </c>
      <c r="R44" s="1266"/>
      <c r="S44" s="1266"/>
      <c r="T44" s="249"/>
      <c r="U44" s="1266" t="s">
        <v>407</v>
      </c>
      <c r="V44" s="1266"/>
      <c r="W44" s="1266"/>
      <c r="X44" s="1267"/>
    </row>
    <row r="45" spans="2:24" ht="20.100000000000001" customHeight="1" x14ac:dyDescent="0.25">
      <c r="B45" s="247"/>
      <c r="C45" s="1300" t="s">
        <v>643</v>
      </c>
      <c r="D45" s="1300"/>
      <c r="E45" s="1300"/>
      <c r="F45" s="1300"/>
      <c r="G45" s="1300"/>
      <c r="H45" s="1300"/>
      <c r="I45" s="1300"/>
      <c r="J45" s="1300"/>
      <c r="K45" s="1300"/>
      <c r="L45" s="1300"/>
      <c r="M45" s="1300"/>
      <c r="N45" s="1300"/>
      <c r="O45" s="1300"/>
      <c r="P45" s="1300"/>
      <c r="Q45" s="1300"/>
      <c r="R45" s="1300"/>
      <c r="S45" s="1300"/>
      <c r="T45" s="1300"/>
      <c r="U45" s="1300"/>
      <c r="V45" s="1300"/>
      <c r="W45" s="1300"/>
      <c r="X45" s="1301"/>
    </row>
    <row r="46" spans="2:24" ht="20.100000000000001" customHeight="1" x14ac:dyDescent="0.25">
      <c r="B46" s="1208" t="s">
        <v>644</v>
      </c>
      <c r="C46" s="1209"/>
      <c r="D46" s="1210"/>
      <c r="E46" s="1210"/>
      <c r="F46" s="1210"/>
      <c r="G46" s="1210"/>
      <c r="H46" s="1210"/>
      <c r="I46" s="1210"/>
      <c r="J46" s="1210"/>
      <c r="K46" s="1210"/>
      <c r="L46" s="1210"/>
      <c r="M46" s="1210"/>
      <c r="N46" s="1210"/>
      <c r="O46" s="1210"/>
      <c r="P46" s="1210"/>
      <c r="Q46" s="1210"/>
      <c r="R46" s="1210"/>
      <c r="S46" s="1210"/>
      <c r="T46" s="1210"/>
      <c r="U46" s="1210"/>
      <c r="V46" s="1210"/>
      <c r="W46" s="1210"/>
      <c r="X46" s="1211"/>
    </row>
    <row r="47" spans="2:24" ht="20.100000000000001" customHeight="1" x14ac:dyDescent="0.25">
      <c r="B47" s="247"/>
      <c r="C47" s="1206" t="s">
        <v>645</v>
      </c>
      <c r="D47" s="1206"/>
      <c r="E47" s="1206"/>
      <c r="F47" s="1206"/>
      <c r="G47" s="1206"/>
      <c r="H47" s="1206"/>
      <c r="I47" s="1206"/>
      <c r="J47" s="1206"/>
      <c r="K47" s="1206"/>
      <c r="L47" s="1206"/>
      <c r="M47" s="1206"/>
      <c r="N47" s="1206"/>
      <c r="O47" s="1206"/>
      <c r="P47" s="1206"/>
      <c r="Q47" s="1206"/>
      <c r="R47" s="1206"/>
      <c r="S47" s="1206"/>
      <c r="T47" s="1206"/>
      <c r="U47" s="1206"/>
      <c r="V47" s="1206"/>
      <c r="W47" s="1206"/>
      <c r="X47" s="1207"/>
    </row>
    <row r="48" spans="2:24" ht="20.100000000000001" customHeight="1" x14ac:dyDescent="0.25">
      <c r="B48" s="1208" t="s">
        <v>644</v>
      </c>
      <c r="C48" s="1209"/>
      <c r="D48" s="1210"/>
      <c r="E48" s="1210"/>
      <c r="F48" s="1210"/>
      <c r="G48" s="1210"/>
      <c r="H48" s="1210"/>
      <c r="I48" s="1210"/>
      <c r="J48" s="1210"/>
      <c r="K48" s="1210"/>
      <c r="L48" s="1210"/>
      <c r="M48" s="1210"/>
      <c r="N48" s="1210"/>
      <c r="O48" s="1210"/>
      <c r="P48" s="1210"/>
      <c r="Q48" s="1210"/>
      <c r="R48" s="1210"/>
      <c r="S48" s="1210"/>
      <c r="T48" s="1210"/>
      <c r="U48" s="1210"/>
      <c r="V48" s="1210"/>
      <c r="W48" s="1210"/>
      <c r="X48" s="1211"/>
    </row>
    <row r="49" spans="2:24" ht="20.100000000000001" customHeight="1" x14ac:dyDescent="0.25">
      <c r="B49" s="247"/>
      <c r="C49" s="1206" t="s">
        <v>646</v>
      </c>
      <c r="D49" s="1206"/>
      <c r="E49" s="1206"/>
      <c r="F49" s="1206"/>
      <c r="G49" s="1206"/>
      <c r="H49" s="1206"/>
      <c r="I49" s="1206"/>
      <c r="J49" s="1206"/>
      <c r="K49" s="1206"/>
      <c r="L49" s="1206"/>
      <c r="M49" s="1206"/>
      <c r="N49" s="1206"/>
      <c r="O49" s="1206"/>
      <c r="P49" s="1206"/>
      <c r="Q49" s="1206"/>
      <c r="R49" s="1206"/>
      <c r="S49" s="1206"/>
      <c r="T49" s="1206"/>
      <c r="U49" s="1206"/>
      <c r="V49" s="1206"/>
      <c r="W49" s="1206"/>
      <c r="X49" s="1207"/>
    </row>
    <row r="50" spans="2:24" ht="20.100000000000001" customHeight="1" x14ac:dyDescent="0.25">
      <c r="B50" s="1212" t="s">
        <v>644</v>
      </c>
      <c r="C50" s="1209"/>
      <c r="D50" s="1210"/>
      <c r="E50" s="1210"/>
      <c r="F50" s="1210"/>
      <c r="G50" s="1210"/>
      <c r="H50" s="1210"/>
      <c r="I50" s="1210"/>
      <c r="J50" s="1210"/>
      <c r="K50" s="1210"/>
      <c r="L50" s="1210"/>
      <c r="M50" s="1210"/>
      <c r="N50" s="1210"/>
      <c r="O50" s="1210"/>
      <c r="P50" s="1210"/>
      <c r="Q50" s="1210"/>
      <c r="R50" s="1210"/>
      <c r="S50" s="1210"/>
      <c r="T50" s="1210"/>
      <c r="U50" s="1210"/>
      <c r="V50" s="1210"/>
      <c r="W50" s="1210"/>
      <c r="X50" s="1211"/>
    </row>
    <row r="51" spans="2:24" ht="24.95" customHeight="1" x14ac:dyDescent="0.25">
      <c r="B51" s="1282" t="s">
        <v>647</v>
      </c>
      <c r="C51" s="1283"/>
      <c r="D51" s="1283"/>
      <c r="E51" s="1283"/>
      <c r="F51" s="1283"/>
      <c r="G51" s="1283"/>
      <c r="H51" s="1283"/>
      <c r="I51" s="1283"/>
      <c r="J51" s="1283"/>
      <c r="K51" s="1283"/>
      <c r="L51" s="1283"/>
      <c r="M51" s="1283"/>
      <c r="N51" s="1283"/>
      <c r="O51" s="1283"/>
      <c r="P51" s="1283"/>
      <c r="Q51" s="1283"/>
      <c r="R51" s="1283"/>
      <c r="S51" s="1283"/>
      <c r="T51" s="1283"/>
      <c r="U51" s="1283"/>
      <c r="V51" s="1283"/>
      <c r="W51" s="1283"/>
      <c r="X51" s="1284"/>
    </row>
    <row r="52" spans="2:24" ht="15.95" customHeight="1" x14ac:dyDescent="0.25">
      <c r="B52" s="1268" t="s">
        <v>648</v>
      </c>
      <c r="C52" s="1269"/>
      <c r="D52" s="1269"/>
      <c r="E52" s="1269"/>
      <c r="F52" s="1269"/>
      <c r="G52" s="1269"/>
      <c r="H52" s="1269"/>
      <c r="I52" s="1269"/>
      <c r="J52" s="1269"/>
      <c r="K52" s="1269"/>
      <c r="L52" s="1269"/>
      <c r="M52" s="1269"/>
      <c r="N52" s="1269"/>
      <c r="O52" s="1269"/>
      <c r="P52" s="249"/>
      <c r="Q52" s="1270" t="s">
        <v>608</v>
      </c>
      <c r="R52" s="1270"/>
      <c r="S52" s="1270"/>
      <c r="T52" s="249"/>
      <c r="U52" s="1270" t="s">
        <v>407</v>
      </c>
      <c r="V52" s="1270"/>
      <c r="W52" s="1270"/>
      <c r="X52" s="1271"/>
    </row>
    <row r="53" spans="2:24" ht="24.95" customHeight="1" x14ac:dyDescent="0.25">
      <c r="B53" s="247"/>
      <c r="C53" s="1285" t="s">
        <v>649</v>
      </c>
      <c r="D53" s="1285"/>
      <c r="E53" s="1285"/>
      <c r="F53" s="1285"/>
      <c r="G53" s="1285"/>
      <c r="H53" s="1285"/>
      <c r="I53" s="1285"/>
      <c r="J53" s="1285"/>
      <c r="K53" s="1285"/>
      <c r="L53" s="1285"/>
      <c r="M53" s="1285"/>
      <c r="N53" s="1285"/>
      <c r="O53" s="1285"/>
      <c r="P53" s="1285"/>
      <c r="Q53" s="1285"/>
      <c r="R53" s="1285"/>
      <c r="S53" s="1285"/>
      <c r="T53" s="1285"/>
      <c r="U53" s="1285"/>
      <c r="V53" s="1285"/>
      <c r="W53" s="1285"/>
      <c r="X53" s="1286"/>
    </row>
    <row r="54" spans="2:24" ht="18.95" customHeight="1" x14ac:dyDescent="0.25">
      <c r="B54" s="1287" t="s">
        <v>650</v>
      </c>
      <c r="C54" s="1288"/>
      <c r="D54" s="1288"/>
      <c r="E54" s="1288"/>
      <c r="F54" s="1288"/>
      <c r="G54" s="1288"/>
      <c r="H54" s="1288"/>
      <c r="I54" s="1288"/>
      <c r="J54" s="1288"/>
      <c r="K54" s="1288"/>
      <c r="L54" s="1288"/>
      <c r="M54" s="1288"/>
      <c r="N54" s="1288"/>
      <c r="O54" s="1288"/>
      <c r="P54" s="1288"/>
      <c r="Q54" s="1288"/>
      <c r="R54" s="1288"/>
      <c r="S54" s="1288"/>
      <c r="T54" s="1288"/>
      <c r="U54" s="1288"/>
      <c r="V54" s="1288"/>
      <c r="W54" s="1288"/>
      <c r="X54" s="1289"/>
    </row>
    <row r="55" spans="2:24" ht="18.95" customHeight="1" x14ac:dyDescent="0.25">
      <c r="B55" s="1290"/>
      <c r="C55" s="1291"/>
      <c r="D55" s="1291"/>
      <c r="E55" s="1291"/>
      <c r="F55" s="1291"/>
      <c r="G55" s="1291"/>
      <c r="H55" s="1291"/>
      <c r="I55" s="1291"/>
      <c r="J55" s="1291"/>
      <c r="K55" s="1291"/>
      <c r="L55" s="1291"/>
      <c r="M55" s="1291"/>
      <c r="N55" s="1291"/>
      <c r="O55" s="1291"/>
      <c r="P55" s="1291"/>
      <c r="Q55" s="1291"/>
      <c r="R55" s="1291"/>
      <c r="S55" s="1291"/>
      <c r="T55" s="1291"/>
      <c r="U55" s="1291"/>
      <c r="V55" s="1291"/>
      <c r="W55" s="1291"/>
      <c r="X55" s="1292"/>
    </row>
    <row r="56" spans="2:24" ht="18.95" customHeight="1" x14ac:dyDescent="0.25">
      <c r="B56" s="1290"/>
      <c r="C56" s="1291"/>
      <c r="D56" s="1291"/>
      <c r="E56" s="1291"/>
      <c r="F56" s="1291"/>
      <c r="G56" s="1291"/>
      <c r="H56" s="1291"/>
      <c r="I56" s="1291"/>
      <c r="J56" s="1291"/>
      <c r="K56" s="1291"/>
      <c r="L56" s="1291"/>
      <c r="M56" s="1291"/>
      <c r="N56" s="1291"/>
      <c r="O56" s="1291"/>
      <c r="P56" s="1291"/>
      <c r="Q56" s="1291"/>
      <c r="R56" s="1291"/>
      <c r="S56" s="1291"/>
      <c r="T56" s="1291"/>
      <c r="U56" s="1291"/>
      <c r="V56" s="1291"/>
      <c r="W56" s="1291"/>
      <c r="X56" s="1292"/>
    </row>
    <row r="57" spans="2:24" ht="18.95" customHeight="1" x14ac:dyDescent="0.25">
      <c r="B57" s="1290"/>
      <c r="C57" s="1291"/>
      <c r="D57" s="1291"/>
      <c r="E57" s="1291"/>
      <c r="F57" s="1291"/>
      <c r="G57" s="1291"/>
      <c r="H57" s="1291"/>
      <c r="I57" s="1291"/>
      <c r="J57" s="1291"/>
      <c r="K57" s="1291"/>
      <c r="L57" s="1291"/>
      <c r="M57" s="1291"/>
      <c r="N57" s="1291"/>
      <c r="O57" s="1291"/>
      <c r="P57" s="1291"/>
      <c r="Q57" s="1291"/>
      <c r="R57" s="1291"/>
      <c r="S57" s="1291"/>
      <c r="T57" s="1291"/>
      <c r="U57" s="1291"/>
      <c r="V57" s="1291"/>
      <c r="W57" s="1291"/>
      <c r="X57" s="1292"/>
    </row>
    <row r="58" spans="2:24" ht="18.95" customHeight="1" x14ac:dyDescent="0.25">
      <c r="B58" s="1290"/>
      <c r="C58" s="1293"/>
      <c r="D58" s="1293"/>
      <c r="E58" s="1293"/>
      <c r="F58" s="1293"/>
      <c r="G58" s="1293"/>
      <c r="H58" s="1293"/>
      <c r="I58" s="1293"/>
      <c r="J58" s="1293"/>
      <c r="K58" s="1293"/>
      <c r="L58" s="1293"/>
      <c r="M58" s="1293"/>
      <c r="N58" s="1293"/>
      <c r="O58" s="1293"/>
      <c r="P58" s="1291"/>
      <c r="Q58" s="1293"/>
      <c r="R58" s="1293"/>
      <c r="S58" s="1293"/>
      <c r="T58" s="1293"/>
      <c r="U58" s="1293"/>
      <c r="V58" s="1293"/>
      <c r="W58" s="1293"/>
      <c r="X58" s="1294"/>
    </row>
    <row r="59" spans="2:24" ht="20.100000000000001" customHeight="1" x14ac:dyDescent="0.25">
      <c r="B59" s="247"/>
      <c r="C59" s="1261" t="s">
        <v>651</v>
      </c>
      <c r="D59" s="1261"/>
      <c r="E59" s="1261"/>
      <c r="F59" s="1261"/>
      <c r="G59" s="1261"/>
      <c r="H59" s="1261"/>
      <c r="I59" s="1261"/>
      <c r="J59" s="1261"/>
      <c r="K59" s="1261"/>
      <c r="L59" s="1261"/>
      <c r="M59" s="1261"/>
      <c r="N59" s="1261"/>
      <c r="O59" s="1261"/>
      <c r="P59" s="247"/>
      <c r="Q59" s="1261" t="s">
        <v>652</v>
      </c>
      <c r="R59" s="1261"/>
      <c r="S59" s="1261"/>
      <c r="T59" s="1261"/>
      <c r="U59" s="1261"/>
      <c r="V59" s="1261"/>
      <c r="W59" s="1261"/>
      <c r="X59" s="1262"/>
    </row>
    <row r="60" spans="2:24" ht="24.95" customHeight="1" x14ac:dyDescent="0.25">
      <c r="B60" s="1263" t="s">
        <v>641</v>
      </c>
      <c r="C60" s="1264"/>
      <c r="D60" s="1264"/>
      <c r="E60" s="1264"/>
      <c r="F60" s="1264"/>
      <c r="G60" s="1264"/>
      <c r="H60" s="1264"/>
      <c r="I60" s="1264"/>
      <c r="J60" s="1264"/>
      <c r="K60" s="1264"/>
      <c r="L60" s="1264"/>
      <c r="M60" s="1264"/>
      <c r="N60" s="1264"/>
      <c r="O60" s="1264"/>
      <c r="P60" s="1264"/>
      <c r="Q60" s="1264"/>
      <c r="R60" s="1264"/>
      <c r="S60" s="1264"/>
      <c r="T60" s="1264"/>
      <c r="U60" s="1264"/>
      <c r="V60" s="1264"/>
      <c r="W60" s="1264"/>
      <c r="X60" s="1265"/>
    </row>
    <row r="61" spans="2:24" ht="15.95" customHeight="1" x14ac:dyDescent="0.25">
      <c r="B61" s="1213" t="s">
        <v>653</v>
      </c>
      <c r="C61" s="1214"/>
      <c r="D61" s="1214"/>
      <c r="E61" s="1214"/>
      <c r="F61" s="1214"/>
      <c r="G61" s="1214"/>
      <c r="H61" s="1214"/>
      <c r="I61" s="1214"/>
      <c r="J61" s="1214"/>
      <c r="K61" s="1214"/>
      <c r="L61" s="1214"/>
      <c r="M61" s="1214"/>
      <c r="N61" s="1214"/>
      <c r="O61" s="1214"/>
      <c r="P61" s="246"/>
      <c r="Q61" s="1266" t="s">
        <v>608</v>
      </c>
      <c r="R61" s="1266"/>
      <c r="S61" s="1266"/>
      <c r="T61" s="246"/>
      <c r="U61" s="1266" t="s">
        <v>407</v>
      </c>
      <c r="V61" s="1266"/>
      <c r="W61" s="1266"/>
      <c r="X61" s="1267"/>
    </row>
    <row r="62" spans="2:24" ht="20.100000000000001" customHeight="1" x14ac:dyDescent="0.25">
      <c r="B62" s="1199" t="s">
        <v>654</v>
      </c>
      <c r="C62" s="1200"/>
      <c r="D62" s="1200"/>
      <c r="E62" s="1200"/>
      <c r="F62" s="1200"/>
      <c r="G62" s="1200"/>
      <c r="H62" s="1200"/>
      <c r="I62" s="1200"/>
      <c r="J62" s="1200"/>
      <c r="K62" s="1200"/>
      <c r="L62" s="1200"/>
      <c r="M62" s="1200"/>
      <c r="N62" s="1200"/>
      <c r="O62" s="1200"/>
      <c r="P62" s="1200"/>
      <c r="Q62" s="1200"/>
      <c r="R62" s="1200"/>
      <c r="S62" s="1200"/>
      <c r="T62" s="1200"/>
      <c r="U62" s="1200"/>
      <c r="V62" s="1200"/>
      <c r="W62" s="1200"/>
      <c r="X62" s="1201"/>
    </row>
    <row r="63" spans="2:24" ht="20.100000000000001" customHeight="1" x14ac:dyDescent="0.25">
      <c r="B63" s="1199"/>
      <c r="C63" s="1200"/>
      <c r="D63" s="1200"/>
      <c r="E63" s="1200"/>
      <c r="F63" s="1200"/>
      <c r="G63" s="1200"/>
      <c r="H63" s="1200"/>
      <c r="I63" s="1200"/>
      <c r="J63" s="1200"/>
      <c r="K63" s="1200"/>
      <c r="L63" s="1200"/>
      <c r="M63" s="1200"/>
      <c r="N63" s="1200"/>
      <c r="O63" s="1200"/>
      <c r="P63" s="1200"/>
      <c r="Q63" s="1200"/>
      <c r="R63" s="1200"/>
      <c r="S63" s="1200"/>
      <c r="T63" s="1200"/>
      <c r="U63" s="1200"/>
      <c r="V63" s="1200"/>
      <c r="W63" s="1200"/>
      <c r="X63" s="1201"/>
    </row>
    <row r="64" spans="2:24" ht="24" customHeight="1" x14ac:dyDescent="0.25">
      <c r="B64" s="247"/>
      <c r="C64" s="1187" t="s">
        <v>655</v>
      </c>
      <c r="D64" s="1188"/>
      <c r="E64" s="1188"/>
      <c r="F64" s="1188"/>
      <c r="G64" s="1188"/>
      <c r="H64" s="1188"/>
      <c r="I64" s="1188"/>
      <c r="J64" s="1188"/>
      <c r="K64" s="1188"/>
      <c r="L64" s="1188"/>
      <c r="M64" s="1188"/>
      <c r="N64" s="1188"/>
      <c r="O64" s="1188"/>
      <c r="P64" s="1188"/>
      <c r="Q64" s="1188"/>
      <c r="R64" s="1188"/>
      <c r="S64" s="1188"/>
      <c r="T64" s="1188"/>
      <c r="U64" s="1188"/>
      <c r="V64" s="1188"/>
      <c r="W64" s="1188"/>
      <c r="X64" s="1202"/>
    </row>
    <row r="65" spans="2:24" ht="24" customHeight="1" x14ac:dyDescent="0.25">
      <c r="B65" s="253"/>
      <c r="C65" s="1203" t="s">
        <v>656</v>
      </c>
      <c r="D65" s="1203"/>
      <c r="E65" s="1203"/>
      <c r="F65" s="1203"/>
      <c r="G65" s="1203"/>
      <c r="H65" s="1203"/>
      <c r="I65" s="1203"/>
      <c r="J65" s="1203"/>
      <c r="K65" s="1203"/>
      <c r="L65" s="1203"/>
      <c r="M65" s="1203"/>
      <c r="N65" s="1203"/>
      <c r="O65" s="1203"/>
      <c r="P65" s="1203"/>
      <c r="Q65" s="1203"/>
      <c r="R65" s="1203"/>
      <c r="S65" s="1203"/>
      <c r="T65" s="1203"/>
      <c r="U65" s="1203"/>
      <c r="V65" s="1203"/>
      <c r="W65" s="1203"/>
      <c r="X65" s="1203"/>
    </row>
    <row r="66" spans="2:24" ht="45" customHeight="1" x14ac:dyDescent="0.25">
      <c r="B66" s="247"/>
      <c r="C66" s="1188" t="s">
        <v>657</v>
      </c>
      <c r="D66" s="1188"/>
      <c r="E66" s="1188"/>
      <c r="F66" s="1188"/>
      <c r="G66" s="1188"/>
      <c r="H66" s="1188"/>
      <c r="I66" s="1188"/>
      <c r="J66" s="1188"/>
      <c r="K66" s="1188"/>
      <c r="L66" s="1188"/>
      <c r="M66" s="1188"/>
      <c r="N66" s="1188"/>
      <c r="O66" s="1188"/>
      <c r="P66" s="1188"/>
      <c r="Q66" s="1188"/>
      <c r="R66" s="1188"/>
      <c r="S66" s="1188"/>
      <c r="T66" s="1188"/>
      <c r="U66" s="1188"/>
      <c r="V66" s="1188"/>
      <c r="W66" s="1188"/>
      <c r="X66" s="1202"/>
    </row>
    <row r="67" spans="2:24" ht="35.1" customHeight="1" x14ac:dyDescent="0.25">
      <c r="B67" s="247"/>
      <c r="C67" s="1204" t="s">
        <v>658</v>
      </c>
      <c r="D67" s="1204"/>
      <c r="E67" s="1204"/>
      <c r="F67" s="1204"/>
      <c r="G67" s="1204"/>
      <c r="H67" s="1204"/>
      <c r="I67" s="1204"/>
      <c r="J67" s="1204"/>
      <c r="K67" s="1204"/>
      <c r="L67" s="1204"/>
      <c r="M67" s="1204"/>
      <c r="N67" s="1204"/>
      <c r="O67" s="1204"/>
      <c r="P67" s="1204"/>
      <c r="Q67" s="1204"/>
      <c r="R67" s="1204"/>
      <c r="S67" s="1204"/>
      <c r="T67" s="1204"/>
      <c r="U67" s="1204"/>
      <c r="V67" s="1204"/>
      <c r="W67" s="1204"/>
      <c r="X67" s="1205"/>
    </row>
    <row r="68" spans="2:24" ht="5.25" customHeight="1" x14ac:dyDescent="0.25">
      <c r="B68" s="1195"/>
      <c r="C68" s="1195"/>
      <c r="D68" s="1195"/>
      <c r="E68" s="1195"/>
      <c r="F68" s="1195"/>
      <c r="G68" s="1195"/>
      <c r="H68" s="1195"/>
      <c r="I68" s="1195"/>
      <c r="J68" s="1195"/>
      <c r="K68" s="1195"/>
      <c r="L68" s="1195"/>
      <c r="M68" s="1195"/>
      <c r="N68" s="1195"/>
      <c r="O68" s="1195"/>
      <c r="P68" s="1195"/>
      <c r="Q68" s="1195"/>
      <c r="R68" s="1195"/>
      <c r="S68" s="1195"/>
      <c r="T68" s="1195"/>
      <c r="U68" s="1195"/>
      <c r="V68" s="1195"/>
      <c r="W68" s="1195"/>
      <c r="X68" s="1195"/>
    </row>
    <row r="69" spans="2:24" ht="21.95" customHeight="1" x14ac:dyDescent="0.25">
      <c r="B69" s="1258" t="s">
        <v>858</v>
      </c>
      <c r="C69" s="1259"/>
      <c r="D69" s="1259"/>
      <c r="E69" s="1259"/>
      <c r="F69" s="1259"/>
      <c r="G69" s="1259"/>
      <c r="H69" s="1259"/>
      <c r="I69" s="1259"/>
      <c r="J69" s="1259"/>
      <c r="K69" s="1259"/>
      <c r="L69" s="1259"/>
      <c r="M69" s="1259"/>
      <c r="N69" s="1259"/>
      <c r="O69" s="1259"/>
      <c r="P69" s="1259"/>
      <c r="Q69" s="1259"/>
      <c r="R69" s="1259"/>
      <c r="S69" s="1259"/>
      <c r="T69" s="1259"/>
      <c r="U69" s="1259"/>
      <c r="V69" s="1259"/>
      <c r="W69" s="1259"/>
      <c r="X69" s="1260"/>
    </row>
    <row r="70" spans="2:24" ht="15.95" customHeight="1" x14ac:dyDescent="0.25">
      <c r="B70" s="1268" t="s">
        <v>659</v>
      </c>
      <c r="C70" s="1269"/>
      <c r="D70" s="1269"/>
      <c r="E70" s="1269"/>
      <c r="F70" s="1269"/>
      <c r="G70" s="1269"/>
      <c r="H70" s="1269"/>
      <c r="I70" s="1269"/>
      <c r="J70" s="1269"/>
      <c r="K70" s="1269"/>
      <c r="L70" s="1269"/>
      <c r="M70" s="1269"/>
      <c r="N70" s="1269"/>
      <c r="O70" s="1269"/>
      <c r="P70" s="249"/>
      <c r="Q70" s="1270" t="s">
        <v>608</v>
      </c>
      <c r="R70" s="1270"/>
      <c r="S70" s="1270"/>
      <c r="T70" s="249"/>
      <c r="U70" s="1270" t="s">
        <v>407</v>
      </c>
      <c r="V70" s="1270"/>
      <c r="W70" s="1270"/>
      <c r="X70" s="1271"/>
    </row>
    <row r="71" spans="2:24" ht="20.100000000000001" customHeight="1" x14ac:dyDescent="0.25">
      <c r="B71" s="1272" t="s">
        <v>660</v>
      </c>
      <c r="C71" s="1273"/>
      <c r="D71" s="1273"/>
      <c r="E71" s="1273"/>
      <c r="F71" s="1273"/>
      <c r="G71" s="1273"/>
      <c r="H71" s="1273"/>
      <c r="I71" s="1273"/>
      <c r="J71" s="1273"/>
      <c r="K71" s="1273"/>
      <c r="L71" s="1273"/>
      <c r="M71" s="1273"/>
      <c r="N71" s="1273"/>
      <c r="O71" s="1273"/>
      <c r="P71" s="1273"/>
      <c r="Q71" s="1273"/>
      <c r="R71" s="1273"/>
      <c r="S71" s="1273"/>
      <c r="T71" s="1273"/>
      <c r="U71" s="1273"/>
      <c r="V71" s="1273"/>
      <c r="W71" s="1273"/>
      <c r="X71" s="1274"/>
    </row>
    <row r="72" spans="2:24" ht="20.100000000000001" customHeight="1" x14ac:dyDescent="0.25">
      <c r="B72" s="1272"/>
      <c r="C72" s="1273"/>
      <c r="D72" s="1273"/>
      <c r="E72" s="1273"/>
      <c r="F72" s="1273"/>
      <c r="G72" s="1273"/>
      <c r="H72" s="1273"/>
      <c r="I72" s="1273"/>
      <c r="J72" s="1273"/>
      <c r="K72" s="1273"/>
      <c r="L72" s="1273"/>
      <c r="M72" s="1273"/>
      <c r="N72" s="1273"/>
      <c r="O72" s="1273"/>
      <c r="P72" s="1273"/>
      <c r="Q72" s="1273"/>
      <c r="R72" s="1273"/>
      <c r="S72" s="1273"/>
      <c r="T72" s="1273"/>
      <c r="U72" s="1273"/>
      <c r="V72" s="1273"/>
      <c r="W72" s="1273"/>
      <c r="X72" s="1274"/>
    </row>
    <row r="73" spans="2:24" ht="20.100000000000001" customHeight="1" x14ac:dyDescent="0.25">
      <c r="B73" s="1272"/>
      <c r="C73" s="1273"/>
      <c r="D73" s="1273"/>
      <c r="E73" s="1273"/>
      <c r="F73" s="1273"/>
      <c r="G73" s="1273"/>
      <c r="H73" s="1273"/>
      <c r="I73" s="1273"/>
      <c r="J73" s="1273"/>
      <c r="K73" s="1273"/>
      <c r="L73" s="1273"/>
      <c r="M73" s="1273"/>
      <c r="N73" s="1273"/>
      <c r="O73" s="1273"/>
      <c r="P73" s="1273"/>
      <c r="Q73" s="1273"/>
      <c r="R73" s="1273"/>
      <c r="S73" s="1273"/>
      <c r="T73" s="1273"/>
      <c r="U73" s="1273"/>
      <c r="V73" s="1273"/>
      <c r="W73" s="1273"/>
      <c r="X73" s="1274"/>
    </row>
    <row r="74" spans="2:24" ht="20.100000000000001" customHeight="1" x14ac:dyDescent="0.25">
      <c r="B74" s="1275"/>
      <c r="C74" s="1276"/>
      <c r="D74" s="1276"/>
      <c r="E74" s="1276"/>
      <c r="F74" s="1276"/>
      <c r="G74" s="1276"/>
      <c r="H74" s="1276"/>
      <c r="I74" s="1276"/>
      <c r="J74" s="1276"/>
      <c r="K74" s="1276"/>
      <c r="L74" s="1276"/>
      <c r="M74" s="1276"/>
      <c r="N74" s="1276"/>
      <c r="O74" s="1276"/>
      <c r="P74" s="1276"/>
      <c r="Q74" s="1276"/>
      <c r="R74" s="1276"/>
      <c r="S74" s="1276"/>
      <c r="T74" s="1276"/>
      <c r="U74" s="1276"/>
      <c r="V74" s="1276"/>
      <c r="W74" s="1276"/>
      <c r="X74" s="1277"/>
    </row>
    <row r="75" spans="2:24" ht="5.25" customHeight="1" x14ac:dyDescent="0.25">
      <c r="B75" s="1281" t="s">
        <v>454</v>
      </c>
      <c r="C75" s="1281"/>
      <c r="D75" s="1281"/>
      <c r="E75" s="1281"/>
      <c r="F75" s="1281"/>
      <c r="G75" s="1281"/>
      <c r="H75" s="1281"/>
      <c r="I75" s="1281"/>
      <c r="J75" s="1281"/>
      <c r="K75" s="1281"/>
      <c r="L75" s="1281"/>
      <c r="M75" s="1281"/>
      <c r="N75" s="1281"/>
      <c r="O75" s="1281"/>
      <c r="P75" s="1281"/>
      <c r="Q75" s="1281"/>
      <c r="R75" s="1281"/>
      <c r="S75" s="1281"/>
      <c r="T75" s="1281"/>
      <c r="U75" s="1281"/>
      <c r="V75" s="1281"/>
      <c r="W75" s="1281"/>
      <c r="X75" s="1281"/>
    </row>
    <row r="76" spans="2:24" ht="60" customHeight="1" x14ac:dyDescent="0.25">
      <c r="B76" s="249" t="s">
        <v>454</v>
      </c>
      <c r="C76" s="1217" t="s">
        <v>661</v>
      </c>
      <c r="D76" s="1278"/>
      <c r="E76" s="1278"/>
      <c r="F76" s="1278"/>
      <c r="G76" s="1278"/>
      <c r="H76" s="1278"/>
      <c r="I76" s="1278"/>
      <c r="J76" s="1278"/>
      <c r="K76" s="1278"/>
      <c r="L76" s="1278"/>
      <c r="M76" s="1278"/>
      <c r="N76" s="1278"/>
      <c r="O76" s="1278"/>
      <c r="P76" s="1278"/>
      <c r="Q76" s="1278"/>
      <c r="R76" s="1278"/>
      <c r="S76" s="1278"/>
      <c r="T76" s="1278"/>
      <c r="U76" s="1278"/>
      <c r="V76" s="1278"/>
      <c r="W76" s="1278"/>
      <c r="X76" s="1278"/>
    </row>
    <row r="77" spans="2:24" s="4" customFormat="1" ht="34.9" customHeight="1" x14ac:dyDescent="0.3">
      <c r="B77" s="1231" t="s">
        <v>412</v>
      </c>
      <c r="C77" s="1231"/>
      <c r="D77" s="1231"/>
      <c r="E77" s="1231"/>
      <c r="F77" s="1231"/>
      <c r="G77" s="1279"/>
      <c r="H77" s="1279"/>
      <c r="I77" s="1279"/>
      <c r="J77" s="1279"/>
      <c r="K77" s="1279"/>
      <c r="L77" s="1279"/>
      <c r="M77" s="1279"/>
      <c r="N77" s="1279"/>
      <c r="O77" s="1279"/>
      <c r="P77" s="1279"/>
      <c r="Q77" s="1279"/>
      <c r="R77" s="1279"/>
      <c r="S77" s="1279"/>
      <c r="T77" s="1233" t="s">
        <v>405</v>
      </c>
      <c r="U77" s="1233"/>
      <c r="V77" s="1280"/>
      <c r="W77" s="1280"/>
      <c r="X77" s="1280"/>
    </row>
    <row r="78" spans="2:24" s="4" customFormat="1" ht="34.9" customHeight="1" x14ac:dyDescent="0.3">
      <c r="B78" s="1231" t="s">
        <v>413</v>
      </c>
      <c r="C78" s="1231"/>
      <c r="D78" s="1231"/>
      <c r="E78" s="1231"/>
      <c r="F78" s="1231"/>
      <c r="G78" s="1232"/>
      <c r="H78" s="1232"/>
      <c r="I78" s="1232"/>
      <c r="J78" s="1232"/>
      <c r="K78" s="1232"/>
      <c r="L78" s="1232"/>
      <c r="M78" s="1232"/>
      <c r="N78" s="1232"/>
      <c r="O78" s="1232"/>
      <c r="P78" s="1232"/>
      <c r="Q78" s="1232"/>
      <c r="R78" s="1232"/>
      <c r="S78" s="1232"/>
      <c r="T78" s="1233" t="s">
        <v>405</v>
      </c>
      <c r="U78" s="1233"/>
      <c r="V78" s="1234"/>
      <c r="W78" s="1234"/>
      <c r="X78" s="1234"/>
    </row>
    <row r="79" spans="2:24" s="4" customFormat="1" ht="5.25" customHeight="1" x14ac:dyDescent="0.3">
      <c r="B79" s="1239"/>
      <c r="C79" s="1239"/>
      <c r="D79" s="1239"/>
      <c r="E79" s="1239"/>
      <c r="F79" s="1239"/>
      <c r="G79" s="1239"/>
      <c r="H79" s="1239"/>
      <c r="I79" s="1239"/>
      <c r="J79" s="1239"/>
      <c r="K79" s="1239"/>
      <c r="L79" s="1239"/>
      <c r="M79" s="1239"/>
      <c r="N79" s="1239"/>
      <c r="O79" s="1239"/>
      <c r="P79" s="1239"/>
      <c r="Q79" s="1239"/>
      <c r="R79" s="1239"/>
      <c r="S79" s="1239"/>
      <c r="T79" s="1239"/>
      <c r="U79" s="1239"/>
      <c r="V79" s="1239"/>
      <c r="W79" s="1239"/>
      <c r="X79" s="1239"/>
    </row>
    <row r="80" spans="2:24" s="4" customFormat="1" ht="54.95" customHeight="1" x14ac:dyDescent="0.25">
      <c r="B80" s="1235" t="s">
        <v>662</v>
      </c>
      <c r="C80" s="1235"/>
      <c r="D80" s="1235"/>
      <c r="E80" s="1235"/>
      <c r="F80" s="1235"/>
      <c r="G80" s="1235"/>
      <c r="H80" s="1235"/>
      <c r="I80" s="1235"/>
      <c r="J80" s="1235"/>
      <c r="K80" s="1235"/>
      <c r="L80" s="1235"/>
      <c r="M80" s="1235"/>
      <c r="N80" s="1235"/>
      <c r="O80" s="1235"/>
      <c r="P80" s="1235"/>
      <c r="Q80" s="1235"/>
      <c r="R80" s="1235"/>
      <c r="S80" s="1235"/>
      <c r="T80" s="1235"/>
      <c r="U80" s="1235"/>
      <c r="V80" s="1235"/>
      <c r="W80" s="1235"/>
      <c r="X80" s="1235"/>
    </row>
    <row r="81" spans="2:24" s="4" customFormat="1" ht="5.25" customHeight="1" x14ac:dyDescent="0.25">
      <c r="B81" s="566"/>
      <c r="C81" s="566"/>
      <c r="D81" s="566"/>
      <c r="E81" s="566"/>
      <c r="F81" s="566"/>
      <c r="G81" s="566"/>
      <c r="H81" s="566"/>
      <c r="I81" s="566"/>
      <c r="J81" s="566"/>
      <c r="K81" s="566"/>
      <c r="L81" s="566"/>
      <c r="M81" s="566"/>
      <c r="N81" s="566"/>
      <c r="O81" s="566"/>
      <c r="P81" s="566"/>
      <c r="Q81" s="566"/>
      <c r="R81" s="566"/>
      <c r="S81" s="566"/>
      <c r="T81" s="566"/>
      <c r="U81" s="566"/>
      <c r="V81" s="566"/>
      <c r="W81" s="566"/>
      <c r="X81" s="566"/>
    </row>
    <row r="82" spans="2:24" ht="24" customHeight="1" x14ac:dyDescent="0.25">
      <c r="B82" s="1236" t="s">
        <v>859</v>
      </c>
      <c r="C82" s="1237"/>
      <c r="D82" s="1237"/>
      <c r="E82" s="1237"/>
      <c r="F82" s="1237"/>
      <c r="G82" s="1237"/>
      <c r="H82" s="1237"/>
      <c r="I82" s="1237"/>
      <c r="J82" s="1237"/>
      <c r="K82" s="1237"/>
      <c r="L82" s="1237"/>
      <c r="M82" s="1237"/>
      <c r="N82" s="1237"/>
      <c r="O82" s="1237"/>
      <c r="P82" s="1237"/>
      <c r="Q82" s="1237"/>
      <c r="R82" s="1237"/>
      <c r="S82" s="1237"/>
      <c r="T82" s="1237"/>
      <c r="U82" s="1237"/>
      <c r="V82" s="1237"/>
      <c r="W82" s="1237"/>
      <c r="X82" s="1238"/>
    </row>
    <row r="83" spans="2:24" ht="15.95" customHeight="1" x14ac:dyDescent="0.25">
      <c r="B83" s="1213" t="s">
        <v>663</v>
      </c>
      <c r="C83" s="1214"/>
      <c r="D83" s="1214"/>
      <c r="E83" s="1214"/>
      <c r="F83" s="1214"/>
      <c r="G83" s="1214"/>
      <c r="H83" s="1214"/>
      <c r="I83" s="1214"/>
      <c r="J83" s="1214"/>
      <c r="K83" s="1214"/>
      <c r="L83" s="1214"/>
      <c r="M83" s="1214"/>
      <c r="N83" s="1214"/>
      <c r="O83" s="1214"/>
      <c r="P83" s="1214"/>
      <c r="Q83" s="1214"/>
      <c r="R83" s="1214"/>
      <c r="S83" s="1214"/>
      <c r="T83" s="1214"/>
      <c r="U83" s="1214"/>
      <c r="V83" s="1214"/>
      <c r="W83" s="1214"/>
      <c r="X83" s="1230"/>
    </row>
    <row r="84" spans="2:24" ht="18" customHeight="1" x14ac:dyDescent="0.25">
      <c r="B84" s="1257" t="s">
        <v>1570</v>
      </c>
      <c r="C84" s="659"/>
      <c r="D84" s="659"/>
      <c r="E84" s="1243"/>
      <c r="F84" s="1243"/>
      <c r="G84" s="1243"/>
      <c r="H84" s="1243"/>
      <c r="I84" s="1243"/>
      <c r="J84" s="1243"/>
      <c r="K84" s="1243"/>
      <c r="L84" s="1243"/>
      <c r="M84" s="1243"/>
      <c r="N84" s="1243"/>
      <c r="O84" s="1243"/>
      <c r="P84" s="1243"/>
      <c r="Q84" s="1243"/>
      <c r="R84" s="1243"/>
      <c r="S84" s="1243"/>
      <c r="T84" s="1243"/>
      <c r="U84" s="1243"/>
      <c r="V84" s="1243"/>
      <c r="W84" s="1243"/>
      <c r="X84" s="1244"/>
    </row>
    <row r="85" spans="2:24" ht="1.9" customHeight="1" x14ac:dyDescent="0.25">
      <c r="B85" s="1242"/>
      <c r="C85" s="606"/>
      <c r="D85" s="606"/>
      <c r="E85" s="606"/>
      <c r="F85" s="606"/>
      <c r="G85" s="606"/>
      <c r="H85" s="606"/>
      <c r="I85" s="606"/>
      <c r="J85" s="606"/>
      <c r="K85" s="606"/>
      <c r="L85" s="606"/>
      <c r="M85" s="606"/>
      <c r="N85" s="606"/>
      <c r="O85" s="606"/>
      <c r="P85" s="606"/>
      <c r="Q85" s="606"/>
      <c r="R85" s="606"/>
      <c r="S85" s="606"/>
      <c r="T85" s="606"/>
      <c r="U85" s="606"/>
      <c r="V85" s="606"/>
      <c r="W85" s="606"/>
      <c r="X85" s="609"/>
    </row>
    <row r="86" spans="2:24" ht="19.899999999999999" customHeight="1" x14ac:dyDescent="0.25">
      <c r="B86" s="487" t="s">
        <v>454</v>
      </c>
      <c r="C86" s="1240" t="s">
        <v>664</v>
      </c>
      <c r="D86" s="690"/>
      <c r="E86" s="690"/>
      <c r="F86" s="690"/>
      <c r="G86" s="690"/>
      <c r="H86" s="690"/>
      <c r="I86" s="690"/>
      <c r="J86" s="690"/>
      <c r="K86" s="690"/>
      <c r="L86" s="690"/>
      <c r="M86" s="690"/>
      <c r="N86" s="690"/>
      <c r="O86" s="690"/>
      <c r="P86" s="690"/>
      <c r="Q86" s="690"/>
      <c r="R86" s="690"/>
      <c r="S86" s="690"/>
      <c r="T86" s="690"/>
      <c r="U86" s="690"/>
      <c r="V86" s="690"/>
      <c r="W86" s="690"/>
      <c r="X86" s="1241"/>
    </row>
    <row r="87" spans="2:24" ht="1.9" customHeight="1" x14ac:dyDescent="0.25">
      <c r="B87" s="1245"/>
      <c r="C87" s="1246"/>
      <c r="D87" s="1246"/>
      <c r="E87" s="1246"/>
      <c r="F87" s="1246"/>
      <c r="G87" s="1246"/>
      <c r="H87" s="1246"/>
      <c r="I87" s="1246"/>
      <c r="J87" s="1246"/>
      <c r="K87" s="1246"/>
      <c r="L87" s="1246"/>
      <c r="M87" s="1246"/>
      <c r="N87" s="1246"/>
      <c r="O87" s="1246"/>
      <c r="P87" s="1246"/>
      <c r="Q87" s="1246"/>
      <c r="R87" s="1246"/>
      <c r="S87" s="1246"/>
      <c r="T87" s="1246"/>
      <c r="U87" s="1246"/>
      <c r="V87" s="1246"/>
      <c r="W87" s="1246"/>
      <c r="X87" s="1247"/>
    </row>
    <row r="88" spans="2:24" ht="1.9" customHeight="1" x14ac:dyDescent="0.25">
      <c r="B88" s="1248"/>
      <c r="C88" s="1249"/>
      <c r="D88" s="1249"/>
      <c r="E88" s="1249"/>
      <c r="F88" s="1249"/>
      <c r="G88" s="1249"/>
      <c r="H88" s="1249"/>
      <c r="I88" s="1249"/>
      <c r="J88" s="1249"/>
      <c r="K88" s="1249"/>
      <c r="L88" s="1249"/>
      <c r="M88" s="1249"/>
      <c r="N88" s="1249"/>
      <c r="O88" s="1249"/>
      <c r="P88" s="1249"/>
      <c r="Q88" s="1249"/>
      <c r="R88" s="1249"/>
      <c r="S88" s="1249"/>
      <c r="T88" s="1249"/>
      <c r="U88" s="1249"/>
      <c r="V88" s="1249"/>
      <c r="W88" s="1249"/>
      <c r="X88" s="1250"/>
    </row>
    <row r="89" spans="2:24" s="2" customFormat="1" ht="15" customHeight="1" x14ac:dyDescent="0.25">
      <c r="B89" s="1256" t="s">
        <v>1577</v>
      </c>
      <c r="C89" s="583"/>
      <c r="D89" s="1251"/>
      <c r="E89" s="1252"/>
      <c r="F89" s="583" t="s">
        <v>1578</v>
      </c>
      <c r="G89" s="583"/>
      <c r="H89" s="583"/>
      <c r="I89" s="1251"/>
      <c r="J89" s="1252"/>
      <c r="K89" s="583" t="s">
        <v>1579</v>
      </c>
      <c r="L89" s="583"/>
      <c r="M89" s="583"/>
      <c r="N89" s="1251"/>
      <c r="O89" s="1252"/>
      <c r="P89" s="583" t="s">
        <v>1580</v>
      </c>
      <c r="Q89" s="583"/>
      <c r="R89" s="1253"/>
      <c r="S89" s="1254"/>
      <c r="T89" s="1255"/>
      <c r="U89" s="488"/>
      <c r="V89" s="1251"/>
      <c r="W89" s="1252"/>
      <c r="X89" s="489"/>
    </row>
    <row r="90" spans="2:24" ht="1.9" customHeight="1" x14ac:dyDescent="0.25">
      <c r="B90" s="1245"/>
      <c r="C90" s="1246"/>
      <c r="D90" s="1246"/>
      <c r="E90" s="1246"/>
      <c r="F90" s="1246"/>
      <c r="G90" s="1246"/>
      <c r="H90" s="1246"/>
      <c r="I90" s="1246"/>
      <c r="J90" s="1246"/>
      <c r="K90" s="1246"/>
      <c r="L90" s="1246"/>
      <c r="M90" s="1246"/>
      <c r="N90" s="1246"/>
      <c r="O90" s="1246"/>
      <c r="P90" s="1246"/>
      <c r="Q90" s="1246"/>
      <c r="R90" s="1246"/>
      <c r="S90" s="1246"/>
      <c r="T90" s="1246"/>
      <c r="U90" s="1246"/>
      <c r="V90" s="1246"/>
      <c r="W90" s="1246"/>
      <c r="X90" s="1247"/>
    </row>
    <row r="91" spans="2:24" ht="1.9" customHeight="1" x14ac:dyDescent="0.25">
      <c r="B91" s="1242"/>
      <c r="C91" s="606"/>
      <c r="D91" s="606"/>
      <c r="E91" s="606"/>
      <c r="F91" s="606"/>
      <c r="G91" s="606"/>
      <c r="H91" s="606"/>
      <c r="I91" s="606"/>
      <c r="J91" s="606"/>
      <c r="K91" s="606"/>
      <c r="L91" s="606"/>
      <c r="M91" s="606"/>
      <c r="N91" s="606"/>
      <c r="O91" s="606"/>
      <c r="P91" s="606"/>
      <c r="Q91" s="606"/>
      <c r="R91" s="606"/>
      <c r="S91" s="606"/>
      <c r="T91" s="606"/>
      <c r="U91" s="606"/>
      <c r="V91" s="606"/>
      <c r="W91" s="606"/>
      <c r="X91" s="609"/>
    </row>
    <row r="92" spans="2:24" ht="30" customHeight="1" x14ac:dyDescent="0.25">
      <c r="B92" s="487" t="s">
        <v>454</v>
      </c>
      <c r="C92" s="1240" t="s">
        <v>1589</v>
      </c>
      <c r="D92" s="690"/>
      <c r="E92" s="690"/>
      <c r="F92" s="690"/>
      <c r="G92" s="690"/>
      <c r="H92" s="690"/>
      <c r="I92" s="690"/>
      <c r="J92" s="690"/>
      <c r="K92" s="690"/>
      <c r="L92" s="690"/>
      <c r="M92" s="690"/>
      <c r="N92" s="690"/>
      <c r="O92" s="690"/>
      <c r="P92" s="690"/>
      <c r="Q92" s="690"/>
      <c r="R92" s="690"/>
      <c r="S92" s="690"/>
      <c r="T92" s="690"/>
      <c r="U92" s="690"/>
      <c r="V92" s="690"/>
      <c r="W92" s="690"/>
      <c r="X92" s="1241"/>
    </row>
    <row r="93" spans="2:24" ht="1.9" customHeight="1" x14ac:dyDescent="0.25">
      <c r="B93" s="1245"/>
      <c r="C93" s="1246"/>
      <c r="D93" s="1246"/>
      <c r="E93" s="1246"/>
      <c r="F93" s="1246"/>
      <c r="G93" s="1246"/>
      <c r="H93" s="1246"/>
      <c r="I93" s="1246"/>
      <c r="J93" s="1246"/>
      <c r="K93" s="1246"/>
      <c r="L93" s="1246"/>
      <c r="M93" s="1246"/>
      <c r="N93" s="1246"/>
      <c r="O93" s="1246"/>
      <c r="P93" s="1246"/>
      <c r="Q93" s="1246"/>
      <c r="R93" s="1246"/>
      <c r="S93" s="1246"/>
      <c r="T93" s="1246"/>
      <c r="U93" s="1246"/>
      <c r="V93" s="1246"/>
      <c r="W93" s="1246"/>
      <c r="X93" s="1247"/>
    </row>
    <row r="94" spans="2:24" ht="1.9" customHeight="1" x14ac:dyDescent="0.25">
      <c r="B94" s="1248"/>
      <c r="C94" s="1249"/>
      <c r="D94" s="1249"/>
      <c r="E94" s="1249"/>
      <c r="F94" s="1249"/>
      <c r="G94" s="1249"/>
      <c r="H94" s="1249"/>
      <c r="I94" s="1249"/>
      <c r="J94" s="1249"/>
      <c r="K94" s="1249"/>
      <c r="L94" s="1249"/>
      <c r="M94" s="1249"/>
      <c r="N94" s="1249"/>
      <c r="O94" s="1249"/>
      <c r="P94" s="1249"/>
      <c r="Q94" s="1249"/>
      <c r="R94" s="1249"/>
      <c r="S94" s="1249"/>
      <c r="T94" s="1249"/>
      <c r="U94" s="1249"/>
      <c r="V94" s="1249"/>
      <c r="W94" s="1249"/>
      <c r="X94" s="1250"/>
    </row>
    <row r="95" spans="2:24" ht="15" customHeight="1" x14ac:dyDescent="0.25">
      <c r="B95" s="1256" t="s">
        <v>1577</v>
      </c>
      <c r="C95" s="583"/>
      <c r="D95" s="1251"/>
      <c r="E95" s="1252"/>
      <c r="F95" s="583" t="s">
        <v>1578</v>
      </c>
      <c r="G95" s="583"/>
      <c r="H95" s="583"/>
      <c r="I95" s="1251"/>
      <c r="J95" s="1252"/>
      <c r="K95" s="583" t="s">
        <v>1579</v>
      </c>
      <c r="L95" s="583"/>
      <c r="M95" s="583"/>
      <c r="N95" s="1251"/>
      <c r="O95" s="1252"/>
      <c r="P95" s="583" t="s">
        <v>1580</v>
      </c>
      <c r="Q95" s="583"/>
      <c r="R95" s="1253"/>
      <c r="S95" s="1254"/>
      <c r="T95" s="1255"/>
      <c r="U95" s="488"/>
      <c r="V95" s="1251"/>
      <c r="W95" s="1252"/>
      <c r="X95" s="489"/>
    </row>
    <row r="96" spans="2:24" ht="1.9" customHeight="1" x14ac:dyDescent="0.25">
      <c r="B96" s="1245"/>
      <c r="C96" s="1246"/>
      <c r="D96" s="1246"/>
      <c r="E96" s="1246"/>
      <c r="F96" s="1246"/>
      <c r="G96" s="1246"/>
      <c r="H96" s="1246"/>
      <c r="I96" s="1246"/>
      <c r="J96" s="1246"/>
      <c r="K96" s="1246"/>
      <c r="L96" s="1246"/>
      <c r="M96" s="1246"/>
      <c r="N96" s="1246"/>
      <c r="O96" s="1246"/>
      <c r="P96" s="1246"/>
      <c r="Q96" s="1246"/>
      <c r="R96" s="1246"/>
      <c r="S96" s="1246"/>
      <c r="T96" s="1246"/>
      <c r="U96" s="1246"/>
      <c r="V96" s="1246"/>
      <c r="W96" s="1246"/>
      <c r="X96" s="1247"/>
    </row>
    <row r="97" spans="2:24" ht="24" customHeight="1" x14ac:dyDescent="0.25">
      <c r="B97" s="1348" t="s">
        <v>1581</v>
      </c>
      <c r="C97" s="1349"/>
      <c r="D97" s="1215"/>
      <c r="E97" s="1215"/>
      <c r="F97" s="1215"/>
      <c r="G97" s="1215"/>
      <c r="H97" s="1215"/>
      <c r="I97" s="1215"/>
      <c r="J97" s="1215"/>
      <c r="K97" s="1215"/>
      <c r="L97" s="1215"/>
      <c r="M97" s="486" t="s">
        <v>1582</v>
      </c>
      <c r="N97" s="1340"/>
      <c r="O97" s="1340"/>
      <c r="P97" s="1340"/>
      <c r="Q97" s="1340"/>
      <c r="R97" s="491" t="s">
        <v>1</v>
      </c>
      <c r="S97" s="683" t="s">
        <v>1583</v>
      </c>
      <c r="T97" s="684"/>
      <c r="U97" s="1340"/>
      <c r="V97" s="1340"/>
      <c r="W97" s="1340"/>
      <c r="X97" s="1341"/>
    </row>
    <row r="98" spans="2:24" ht="24" customHeight="1" x14ac:dyDescent="0.25">
      <c r="B98" s="683" t="s">
        <v>1586</v>
      </c>
      <c r="C98" s="684"/>
      <c r="D98" s="684"/>
      <c r="E98" s="684"/>
      <c r="F98" s="490"/>
      <c r="G98" s="490"/>
      <c r="H98" s="490"/>
      <c r="I98" s="490"/>
      <c r="J98" s="490"/>
      <c r="K98" s="490"/>
      <c r="L98" s="490"/>
      <c r="M98" s="492"/>
      <c r="N98" s="493"/>
      <c r="O98" s="493"/>
      <c r="P98" s="493"/>
      <c r="Q98" s="1346" t="s">
        <v>1569</v>
      </c>
      <c r="R98" s="1347"/>
      <c r="S98" s="675"/>
      <c r="T98" s="675"/>
      <c r="U98" s="675"/>
      <c r="V98" s="675"/>
      <c r="W98" s="675"/>
      <c r="X98" s="756"/>
    </row>
    <row r="99" spans="2:24" ht="34.9" customHeight="1" x14ac:dyDescent="0.25">
      <c r="B99" s="1222" t="s">
        <v>1584</v>
      </c>
      <c r="C99" s="1223"/>
      <c r="D99" s="1223"/>
      <c r="E99" s="1223"/>
      <c r="F99" s="1223"/>
      <c r="G99" s="1224"/>
      <c r="H99" s="1224"/>
      <c r="I99" s="1224"/>
      <c r="J99" s="1224"/>
      <c r="K99" s="1224"/>
      <c r="L99" s="1224"/>
      <c r="M99" s="1224"/>
      <c r="N99" s="1224"/>
      <c r="O99" s="1224"/>
      <c r="P99" s="1224"/>
      <c r="Q99" s="1224"/>
      <c r="R99" s="1224"/>
      <c r="S99" s="1224"/>
      <c r="T99" s="1224"/>
      <c r="U99" s="484" t="s">
        <v>427</v>
      </c>
      <c r="V99" s="1215"/>
      <c r="W99" s="1215"/>
      <c r="X99" s="1216"/>
    </row>
    <row r="100" spans="2:24" ht="15.95" customHeight="1" x14ac:dyDescent="0.25">
      <c r="B100" s="1213" t="s">
        <v>665</v>
      </c>
      <c r="C100" s="1214"/>
      <c r="D100" s="1214"/>
      <c r="E100" s="1214"/>
      <c r="F100" s="1214"/>
      <c r="G100" s="1214"/>
      <c r="H100" s="1214"/>
      <c r="I100" s="1214"/>
      <c r="J100" s="1214"/>
      <c r="K100" s="1214"/>
      <c r="L100" s="1214"/>
      <c r="M100" s="1214"/>
      <c r="N100" s="1214"/>
      <c r="O100" s="1214"/>
      <c r="P100" s="1214"/>
      <c r="Q100" s="1214"/>
      <c r="R100" s="1214"/>
      <c r="S100" s="1214"/>
      <c r="T100" s="1214"/>
      <c r="U100" s="1214"/>
      <c r="V100" s="1214"/>
      <c r="W100" s="1214"/>
      <c r="X100" s="1230"/>
    </row>
    <row r="101" spans="2:24" ht="20.100000000000001" customHeight="1" x14ac:dyDescent="0.25">
      <c r="B101" s="1342" t="s">
        <v>1585</v>
      </c>
      <c r="C101" s="1343"/>
      <c r="D101" s="1343"/>
      <c r="E101" s="1343"/>
      <c r="F101" s="1343"/>
      <c r="G101" s="1344"/>
      <c r="H101" s="1344"/>
      <c r="I101" s="1344"/>
      <c r="J101" s="1344"/>
      <c r="K101" s="1344"/>
      <c r="L101" s="1344"/>
      <c r="M101" s="1344"/>
      <c r="N101" s="1344"/>
      <c r="O101" s="1344"/>
      <c r="P101" s="1345"/>
      <c r="Q101" s="1342" t="s">
        <v>1569</v>
      </c>
      <c r="R101" s="1343"/>
      <c r="S101" s="1215"/>
      <c r="T101" s="1215"/>
      <c r="U101" s="1215"/>
      <c r="V101" s="1215"/>
      <c r="W101" s="1215"/>
      <c r="X101" s="1216"/>
    </row>
    <row r="102" spans="2:24" ht="20.100000000000001" customHeight="1" x14ac:dyDescent="0.25">
      <c r="B102" s="683" t="s">
        <v>1587</v>
      </c>
      <c r="C102" s="684"/>
      <c r="D102" s="684"/>
      <c r="E102" s="684"/>
      <c r="F102" s="684"/>
      <c r="G102" s="1340"/>
      <c r="H102" s="1340"/>
      <c r="I102" s="1340"/>
      <c r="J102" s="1340"/>
      <c r="K102" s="1340"/>
      <c r="L102" s="1340"/>
      <c r="M102" s="1340"/>
      <c r="N102" s="1340"/>
      <c r="O102" s="1340"/>
      <c r="P102" s="1340"/>
      <c r="Q102" s="1340"/>
      <c r="R102" s="1340"/>
      <c r="S102" s="1340"/>
      <c r="T102" s="1340"/>
      <c r="U102" s="1340"/>
      <c r="V102" s="1340"/>
      <c r="W102" s="1340"/>
      <c r="X102" s="1341"/>
    </row>
    <row r="103" spans="2:24" ht="24" customHeight="1" x14ac:dyDescent="0.25">
      <c r="B103" s="1350" t="s">
        <v>666</v>
      </c>
      <c r="C103" s="1351"/>
      <c r="D103" s="1351"/>
      <c r="E103" s="1351"/>
      <c r="F103" s="1351"/>
      <c r="G103" s="1351"/>
      <c r="H103" s="1351"/>
      <c r="I103" s="1351"/>
      <c r="J103" s="1351"/>
      <c r="K103" s="1351"/>
      <c r="L103" s="1351"/>
      <c r="M103" s="1351"/>
      <c r="N103" s="1351"/>
      <c r="O103" s="1351"/>
      <c r="P103" s="1351"/>
      <c r="Q103" s="1351"/>
      <c r="R103" s="1351"/>
      <c r="S103" s="1351"/>
      <c r="T103" s="1351"/>
      <c r="U103" s="1351"/>
      <c r="V103" s="1351"/>
      <c r="W103" s="1351"/>
      <c r="X103" s="1352"/>
    </row>
    <row r="104" spans="2:24" ht="20.100000000000001" customHeight="1" x14ac:dyDescent="0.25">
      <c r="B104" s="683" t="s">
        <v>604</v>
      </c>
      <c r="C104" s="684"/>
      <c r="D104" s="1225"/>
      <c r="E104" s="1225"/>
      <c r="F104" s="1225"/>
      <c r="G104" s="1225"/>
      <c r="H104" s="1225"/>
      <c r="I104" s="1225"/>
      <c r="J104" s="1225"/>
      <c r="K104" s="1225"/>
      <c r="L104" s="1225"/>
      <c r="M104" s="484" t="s">
        <v>1582</v>
      </c>
      <c r="N104" s="1340"/>
      <c r="O104" s="1340"/>
      <c r="P104" s="1340"/>
      <c r="Q104" s="1341"/>
      <c r="R104" s="491" t="s">
        <v>1</v>
      </c>
      <c r="S104" s="684" t="s">
        <v>1583</v>
      </c>
      <c r="T104" s="684"/>
      <c r="U104" s="1340"/>
      <c r="V104" s="1340"/>
      <c r="W104" s="1340"/>
      <c r="X104" s="1341"/>
    </row>
    <row r="105" spans="2:24" ht="34.9" customHeight="1" x14ac:dyDescent="0.25">
      <c r="B105" s="1222" t="s">
        <v>1588</v>
      </c>
      <c r="C105" s="1223"/>
      <c r="D105" s="1223"/>
      <c r="E105" s="1223"/>
      <c r="F105" s="1223"/>
      <c r="G105" s="1224"/>
      <c r="H105" s="1224"/>
      <c r="I105" s="1224"/>
      <c r="J105" s="1224"/>
      <c r="K105" s="1224"/>
      <c r="L105" s="1224"/>
      <c r="M105" s="1224"/>
      <c r="N105" s="1224"/>
      <c r="O105" s="1224"/>
      <c r="P105" s="1224"/>
      <c r="Q105" s="1224"/>
      <c r="R105" s="1224"/>
      <c r="S105" s="1224"/>
      <c r="T105" s="1224"/>
      <c r="U105" s="484" t="s">
        <v>427</v>
      </c>
      <c r="V105" s="1225"/>
      <c r="W105" s="1225"/>
      <c r="X105" s="1226"/>
    </row>
    <row r="106" spans="2:24" ht="5.25" customHeight="1" x14ac:dyDescent="0.25">
      <c r="B106" s="1229"/>
      <c r="C106" s="1229"/>
      <c r="D106" s="1229"/>
      <c r="E106" s="1229"/>
      <c r="F106" s="1229"/>
      <c r="G106" s="1229"/>
      <c r="H106" s="1229"/>
      <c r="I106" s="1229"/>
      <c r="J106" s="1229"/>
      <c r="K106" s="1229"/>
      <c r="L106" s="1229"/>
      <c r="M106" s="1229"/>
      <c r="N106" s="1229"/>
      <c r="O106" s="1229"/>
      <c r="P106" s="1229"/>
      <c r="Q106" s="1229"/>
      <c r="R106" s="1229"/>
      <c r="S106" s="1229"/>
      <c r="T106" s="1229"/>
      <c r="U106" s="1229"/>
      <c r="V106" s="1229"/>
      <c r="W106" s="1229"/>
      <c r="X106" s="1229"/>
    </row>
    <row r="107" spans="2:24" ht="24" customHeight="1" x14ac:dyDescent="0.25">
      <c r="B107" s="711" t="s">
        <v>1616</v>
      </c>
      <c r="C107" s="711"/>
      <c r="D107" s="711"/>
      <c r="E107" s="711"/>
      <c r="F107" s="711"/>
      <c r="G107" s="711"/>
      <c r="H107" s="711"/>
      <c r="I107" s="711"/>
      <c r="J107" s="711"/>
      <c r="K107" s="711"/>
      <c r="L107" s="711"/>
      <c r="M107" s="711"/>
      <c r="N107" s="711"/>
      <c r="O107" s="711"/>
      <c r="P107" s="711"/>
      <c r="Q107" s="711"/>
      <c r="R107" s="711"/>
      <c r="S107" s="711"/>
      <c r="T107" s="711"/>
      <c r="U107" s="711"/>
      <c r="V107" s="711"/>
      <c r="W107" s="711"/>
      <c r="X107" s="711"/>
    </row>
    <row r="108" spans="2:24" ht="24" customHeight="1" x14ac:dyDescent="0.25">
      <c r="B108" s="1228" t="s">
        <v>1622</v>
      </c>
      <c r="C108" s="1228"/>
      <c r="D108" s="1228"/>
      <c r="E108" s="1228"/>
      <c r="F108" s="1228"/>
      <c r="G108" s="1228"/>
      <c r="H108" s="1228"/>
      <c r="I108" s="1228"/>
      <c r="J108" s="1228"/>
      <c r="K108" s="1228"/>
      <c r="L108" s="1228"/>
      <c r="M108" s="1228"/>
      <c r="N108" s="1228"/>
      <c r="O108" s="1228"/>
      <c r="P108" s="1228"/>
      <c r="Q108" s="1228"/>
      <c r="R108" s="1228"/>
      <c r="S108" s="1228"/>
      <c r="T108" s="1228"/>
      <c r="U108" s="1228"/>
      <c r="V108" s="1228"/>
      <c r="W108" s="1228"/>
      <c r="X108" s="1228"/>
    </row>
    <row r="109" spans="2:24" ht="24" customHeight="1" x14ac:dyDescent="0.25">
      <c r="B109" s="1227" t="s">
        <v>1621</v>
      </c>
      <c r="C109" s="1227"/>
      <c r="D109" s="1227"/>
      <c r="E109" s="1227"/>
      <c r="F109" s="1227"/>
      <c r="G109" s="1227"/>
      <c r="H109" s="1227"/>
      <c r="I109" s="1227"/>
      <c r="J109" s="1227"/>
      <c r="K109" s="1227"/>
      <c r="L109" s="1227"/>
      <c r="M109" s="1227"/>
      <c r="N109" s="1227"/>
      <c r="O109" s="1227"/>
      <c r="P109" s="1227"/>
      <c r="Q109" s="1227"/>
      <c r="R109" s="1227"/>
      <c r="S109" s="1227"/>
      <c r="T109" s="1227"/>
      <c r="U109" s="1227"/>
      <c r="V109" s="1227"/>
      <c r="W109" s="1227"/>
      <c r="X109" s="1227"/>
    </row>
    <row r="110" spans="2:24" ht="35.1" customHeight="1" x14ac:dyDescent="0.25">
      <c r="B110" s="1185" t="s">
        <v>1717</v>
      </c>
      <c r="C110" s="1185"/>
      <c r="D110" s="1185"/>
      <c r="E110" s="1185"/>
      <c r="F110" s="1185"/>
      <c r="G110" s="1185"/>
      <c r="H110" s="1185"/>
      <c r="I110" s="1185"/>
      <c r="J110" s="1185"/>
      <c r="K110" s="1185"/>
      <c r="L110" s="1185"/>
      <c r="M110" s="1185"/>
      <c r="N110" s="1185"/>
      <c r="O110" s="1185"/>
      <c r="P110" s="1185"/>
      <c r="Q110" s="1185"/>
      <c r="R110" s="1185"/>
      <c r="S110" s="1185"/>
      <c r="T110" s="1185"/>
      <c r="U110" s="1185"/>
      <c r="V110" s="1185"/>
      <c r="W110" s="1185"/>
      <c r="X110" s="1185"/>
    </row>
    <row r="111" spans="2:24" s="20" customFormat="1" ht="180" customHeight="1" x14ac:dyDescent="0.2">
      <c r="B111" s="1217" t="s">
        <v>1719</v>
      </c>
      <c r="C111" s="1217"/>
      <c r="D111" s="1217"/>
      <c r="E111" s="1217"/>
      <c r="F111" s="1217"/>
      <c r="G111" s="1217"/>
      <c r="H111" s="1217"/>
      <c r="I111" s="1217"/>
      <c r="J111" s="1217"/>
      <c r="K111" s="1217"/>
      <c r="L111" s="1217"/>
      <c r="M111" s="1217"/>
      <c r="N111" s="1217"/>
      <c r="O111" s="1217"/>
      <c r="P111" s="1217"/>
      <c r="Q111" s="1217"/>
      <c r="R111" s="1217"/>
      <c r="S111" s="1217"/>
      <c r="T111" s="1217"/>
      <c r="U111" s="1217"/>
      <c r="V111" s="1217"/>
      <c r="W111" s="1217"/>
      <c r="X111" s="1217"/>
    </row>
    <row r="112" spans="2:24" s="20" customFormat="1" ht="33.950000000000003" customHeight="1" x14ac:dyDescent="0.2">
      <c r="B112" s="1217" t="s">
        <v>1718</v>
      </c>
      <c r="C112" s="1217"/>
      <c r="D112" s="1217"/>
      <c r="E112" s="1217"/>
      <c r="F112" s="1217"/>
      <c r="G112" s="1217"/>
      <c r="H112" s="1217"/>
      <c r="I112" s="1217"/>
      <c r="J112" s="1217"/>
      <c r="K112" s="1217"/>
      <c r="L112" s="1217"/>
      <c r="M112" s="1217"/>
      <c r="N112" s="1217"/>
      <c r="O112" s="1217"/>
      <c r="P112" s="1217"/>
      <c r="Q112" s="1217"/>
      <c r="R112" s="1217"/>
      <c r="S112" s="1217"/>
      <c r="T112" s="1217"/>
      <c r="U112" s="1217"/>
      <c r="V112" s="1217"/>
      <c r="W112" s="1217"/>
      <c r="X112" s="1217"/>
    </row>
    <row r="113" spans="2:24" s="20" customFormat="1" ht="43.9" customHeight="1" x14ac:dyDescent="0.2">
      <c r="B113" s="1217" t="s">
        <v>1720</v>
      </c>
      <c r="C113" s="1186"/>
      <c r="D113" s="1186"/>
      <c r="E113" s="1186"/>
      <c r="F113" s="1186"/>
      <c r="G113" s="1186"/>
      <c r="H113" s="1186"/>
      <c r="I113" s="1186"/>
      <c r="J113" s="1186"/>
      <c r="K113" s="1186"/>
      <c r="L113" s="1186"/>
      <c r="M113" s="1186"/>
      <c r="N113" s="1186"/>
      <c r="O113" s="1186"/>
      <c r="P113" s="1186"/>
      <c r="Q113" s="1186"/>
      <c r="R113" s="1186"/>
      <c r="S113" s="1186"/>
      <c r="T113" s="1186"/>
      <c r="U113" s="1186"/>
      <c r="V113" s="1186"/>
      <c r="W113" s="1186"/>
      <c r="X113" s="1186"/>
    </row>
    <row r="114" spans="2:24" s="20" customFormat="1" ht="66.95" customHeight="1" x14ac:dyDescent="0.2">
      <c r="B114" s="1217" t="s">
        <v>1721</v>
      </c>
      <c r="C114" s="1217"/>
      <c r="D114" s="1217"/>
      <c r="E114" s="1217"/>
      <c r="F114" s="1217"/>
      <c r="G114" s="1217"/>
      <c r="H114" s="1217"/>
      <c r="I114" s="1217"/>
      <c r="J114" s="1217"/>
      <c r="K114" s="1217"/>
      <c r="L114" s="1217"/>
      <c r="M114" s="1217"/>
      <c r="N114" s="1217"/>
      <c r="O114" s="1217"/>
      <c r="P114" s="1217"/>
      <c r="Q114" s="1217"/>
      <c r="R114" s="1217"/>
      <c r="S114" s="1217"/>
      <c r="T114" s="1217"/>
      <c r="U114" s="1217"/>
      <c r="V114" s="1217"/>
      <c r="W114" s="1217"/>
      <c r="X114" s="1217"/>
    </row>
    <row r="115" spans="2:24" s="20" customFormat="1" ht="45" customHeight="1" x14ac:dyDescent="0.2">
      <c r="B115" s="1217" t="s">
        <v>1753</v>
      </c>
      <c r="C115" s="1186"/>
      <c r="D115" s="1186"/>
      <c r="E115" s="1186"/>
      <c r="F115" s="1186"/>
      <c r="G115" s="1186"/>
      <c r="H115" s="1186"/>
      <c r="I115" s="1186"/>
      <c r="J115" s="1186"/>
      <c r="K115" s="1186"/>
      <c r="L115" s="1186"/>
      <c r="M115" s="1186"/>
      <c r="N115" s="1186"/>
      <c r="O115" s="1186"/>
      <c r="P115" s="1186"/>
      <c r="Q115" s="1186"/>
      <c r="R115" s="1186"/>
      <c r="S115" s="1186"/>
      <c r="T115" s="1186"/>
      <c r="U115" s="1186"/>
      <c r="V115" s="1186"/>
      <c r="W115" s="1186"/>
      <c r="X115" s="1186"/>
    </row>
    <row r="116" spans="2:24" s="20" customFormat="1" ht="76.900000000000006" customHeight="1" x14ac:dyDescent="0.2">
      <c r="B116" s="1217" t="s">
        <v>1722</v>
      </c>
      <c r="C116" s="1186"/>
      <c r="D116" s="1186"/>
      <c r="E116" s="1186"/>
      <c r="F116" s="1186"/>
      <c r="G116" s="1186"/>
      <c r="H116" s="1186"/>
      <c r="I116" s="1186"/>
      <c r="J116" s="1186"/>
      <c r="K116" s="1186"/>
      <c r="L116" s="1186"/>
      <c r="M116" s="1186"/>
      <c r="N116" s="1186"/>
      <c r="O116" s="1186"/>
      <c r="P116" s="1186"/>
      <c r="Q116" s="1186"/>
      <c r="R116" s="1186"/>
      <c r="S116" s="1186"/>
      <c r="T116" s="1186"/>
      <c r="U116" s="1186"/>
      <c r="V116" s="1186"/>
      <c r="W116" s="1186"/>
      <c r="X116" s="1186"/>
    </row>
    <row r="117" spans="2:24" s="20" customFormat="1" ht="45" customHeight="1" x14ac:dyDescent="0.2">
      <c r="B117" s="1217" t="s">
        <v>1723</v>
      </c>
      <c r="C117" s="1217"/>
      <c r="D117" s="1217"/>
      <c r="E117" s="1217"/>
      <c r="F117" s="1217"/>
      <c r="G117" s="1217"/>
      <c r="H117" s="1217"/>
      <c r="I117" s="1217"/>
      <c r="J117" s="1217"/>
      <c r="K117" s="1217"/>
      <c r="L117" s="1217"/>
      <c r="M117" s="1217"/>
      <c r="N117" s="1217"/>
      <c r="O117" s="1217"/>
      <c r="P117" s="1217"/>
      <c r="Q117" s="1217"/>
      <c r="R117" s="1217"/>
      <c r="S117" s="1217"/>
      <c r="T117" s="1217"/>
      <c r="U117" s="1217"/>
      <c r="V117" s="1217"/>
      <c r="W117" s="1217"/>
      <c r="X117" s="1217"/>
    </row>
    <row r="118" spans="2:24" s="20" customFormat="1" ht="78" customHeight="1" x14ac:dyDescent="0.2">
      <c r="B118" s="1217" t="s">
        <v>1724</v>
      </c>
      <c r="C118" s="1186"/>
      <c r="D118" s="1186"/>
      <c r="E118" s="1186"/>
      <c r="F118" s="1186"/>
      <c r="G118" s="1186"/>
      <c r="H118" s="1186"/>
      <c r="I118" s="1186"/>
      <c r="J118" s="1186"/>
      <c r="K118" s="1186"/>
      <c r="L118" s="1186"/>
      <c r="M118" s="1186"/>
      <c r="N118" s="1186"/>
      <c r="O118" s="1186"/>
      <c r="P118" s="1186"/>
      <c r="Q118" s="1186"/>
      <c r="R118" s="1186"/>
      <c r="S118" s="1186"/>
      <c r="T118" s="1186"/>
      <c r="U118" s="1186"/>
      <c r="V118" s="1186"/>
      <c r="W118" s="1186"/>
      <c r="X118" s="1186"/>
    </row>
    <row r="119" spans="2:24" s="20" customFormat="1" ht="33" customHeight="1" x14ac:dyDescent="0.2">
      <c r="B119" s="1217" t="s">
        <v>1725</v>
      </c>
      <c r="C119" s="1186"/>
      <c r="D119" s="1186"/>
      <c r="E119" s="1186"/>
      <c r="F119" s="1186"/>
      <c r="G119" s="1186"/>
      <c r="H119" s="1186"/>
      <c r="I119" s="1186"/>
      <c r="J119" s="1186"/>
      <c r="K119" s="1186"/>
      <c r="L119" s="1186"/>
      <c r="M119" s="1186"/>
      <c r="N119" s="1186"/>
      <c r="O119" s="1186"/>
      <c r="P119" s="1186"/>
      <c r="Q119" s="1186"/>
      <c r="R119" s="1186"/>
      <c r="S119" s="1186"/>
      <c r="T119" s="1186"/>
      <c r="U119" s="1186"/>
      <c r="V119" s="1186"/>
      <c r="W119" s="1186"/>
      <c r="X119" s="1186"/>
    </row>
    <row r="120" spans="2:24" s="20" customFormat="1" ht="153.94999999999999" customHeight="1" x14ac:dyDescent="0.2">
      <c r="B120" s="1217" t="s">
        <v>1726</v>
      </c>
      <c r="C120" s="1217"/>
      <c r="D120" s="1217"/>
      <c r="E120" s="1217"/>
      <c r="F120" s="1217"/>
      <c r="G120" s="1217"/>
      <c r="H120" s="1217"/>
      <c r="I120" s="1217"/>
      <c r="J120" s="1217"/>
      <c r="K120" s="1217"/>
      <c r="L120" s="1217"/>
      <c r="M120" s="1217"/>
      <c r="N120" s="1217"/>
      <c r="O120" s="1217"/>
      <c r="P120" s="1217"/>
      <c r="Q120" s="1217"/>
      <c r="R120" s="1217"/>
      <c r="S120" s="1217"/>
      <c r="T120" s="1217"/>
      <c r="U120" s="1217"/>
      <c r="V120" s="1217"/>
      <c r="W120" s="1217"/>
      <c r="X120" s="1217"/>
    </row>
    <row r="121" spans="2:24" s="20" customFormat="1" ht="33" customHeight="1" x14ac:dyDescent="0.2">
      <c r="B121" s="1217" t="s">
        <v>1727</v>
      </c>
      <c r="C121" s="1186"/>
      <c r="D121" s="1186"/>
      <c r="E121" s="1186"/>
      <c r="F121" s="1186"/>
      <c r="G121" s="1186"/>
      <c r="H121" s="1186"/>
      <c r="I121" s="1186"/>
      <c r="J121" s="1186"/>
      <c r="K121" s="1186"/>
      <c r="L121" s="1186"/>
      <c r="M121" s="1186"/>
      <c r="N121" s="1186"/>
      <c r="O121" s="1186"/>
      <c r="P121" s="1186"/>
      <c r="Q121" s="1186"/>
      <c r="R121" s="1186"/>
      <c r="S121" s="1186"/>
      <c r="T121" s="1186"/>
      <c r="U121" s="1186"/>
      <c r="V121" s="1186"/>
      <c r="W121" s="1186"/>
      <c r="X121" s="1186"/>
    </row>
    <row r="122" spans="2:24" s="20" customFormat="1" ht="33" customHeight="1" x14ac:dyDescent="0.2">
      <c r="B122" s="1187" t="s">
        <v>1728</v>
      </c>
      <c r="C122" s="1187"/>
      <c r="D122" s="1187"/>
      <c r="E122" s="1187"/>
      <c r="F122" s="1187"/>
      <c r="G122" s="1187"/>
      <c r="H122" s="1187"/>
      <c r="I122" s="1187"/>
      <c r="J122" s="1187"/>
      <c r="K122" s="1187"/>
      <c r="L122" s="1187"/>
      <c r="M122" s="1187"/>
      <c r="N122" s="1187"/>
      <c r="O122" s="1187"/>
      <c r="P122" s="1187"/>
      <c r="Q122" s="1187"/>
      <c r="R122" s="1187"/>
      <c r="S122" s="1187"/>
      <c r="T122" s="1187"/>
      <c r="U122" s="1187"/>
      <c r="V122" s="1187"/>
      <c r="W122" s="1187"/>
      <c r="X122" s="1187"/>
    </row>
    <row r="123" spans="2:24" ht="80.099999999999994" customHeight="1" x14ac:dyDescent="0.25">
      <c r="B123" s="1186" t="s">
        <v>1729</v>
      </c>
      <c r="C123" s="1186"/>
      <c r="D123" s="1186"/>
      <c r="E123" s="1186"/>
      <c r="F123" s="1186"/>
      <c r="G123" s="1186"/>
      <c r="H123" s="1186"/>
      <c r="I123" s="1186"/>
      <c r="J123" s="1186"/>
      <c r="K123" s="1186"/>
      <c r="L123" s="1186"/>
      <c r="M123" s="1186"/>
      <c r="N123" s="1186"/>
      <c r="O123" s="1186"/>
      <c r="P123" s="1186"/>
      <c r="Q123" s="1186"/>
      <c r="R123" s="1186"/>
      <c r="S123" s="1186"/>
      <c r="T123" s="1186"/>
      <c r="U123" s="1186"/>
      <c r="V123" s="1186"/>
      <c r="W123" s="1186"/>
      <c r="X123" s="1186"/>
    </row>
    <row r="124" spans="2:24" ht="22.15" customHeight="1" x14ac:dyDescent="0.25">
      <c r="B124" s="1186" t="s">
        <v>1730</v>
      </c>
      <c r="C124" s="1186"/>
      <c r="D124" s="1186"/>
      <c r="E124" s="1186"/>
      <c r="F124" s="1186"/>
      <c r="G124" s="1186"/>
      <c r="H124" s="1186"/>
      <c r="I124" s="1186"/>
      <c r="J124" s="1186"/>
      <c r="K124" s="1186"/>
      <c r="L124" s="1186"/>
      <c r="M124" s="1186"/>
      <c r="N124" s="1186"/>
      <c r="O124" s="1186"/>
      <c r="P124" s="1186"/>
      <c r="Q124" s="1186"/>
      <c r="R124" s="1186"/>
      <c r="S124" s="1186"/>
      <c r="T124" s="1186"/>
      <c r="U124" s="1186"/>
      <c r="V124" s="1186"/>
      <c r="W124" s="1186"/>
      <c r="X124" s="1186"/>
    </row>
    <row r="125" spans="2:24" ht="55.15" customHeight="1" x14ac:dyDescent="0.25">
      <c r="B125" s="1186" t="s">
        <v>1731</v>
      </c>
      <c r="C125" s="1186"/>
      <c r="D125" s="1186"/>
      <c r="E125" s="1186"/>
      <c r="F125" s="1186"/>
      <c r="G125" s="1186"/>
      <c r="H125" s="1186"/>
      <c r="I125" s="1186"/>
      <c r="J125" s="1186"/>
      <c r="K125" s="1186"/>
      <c r="L125" s="1186"/>
      <c r="M125" s="1186"/>
      <c r="N125" s="1186"/>
      <c r="O125" s="1186"/>
      <c r="P125" s="1186"/>
      <c r="Q125" s="1186"/>
      <c r="R125" s="1186"/>
      <c r="S125" s="1186"/>
      <c r="T125" s="1186"/>
      <c r="U125" s="1186"/>
      <c r="V125" s="1186"/>
      <c r="W125" s="1186"/>
      <c r="X125" s="1186"/>
    </row>
    <row r="126" spans="2:24" ht="33" customHeight="1" x14ac:dyDescent="0.25">
      <c r="B126" s="1186" t="s">
        <v>1732</v>
      </c>
      <c r="C126" s="1186"/>
      <c r="D126" s="1186"/>
      <c r="E126" s="1186"/>
      <c r="F126" s="1186"/>
      <c r="G126" s="1186"/>
      <c r="H126" s="1186"/>
      <c r="I126" s="1186"/>
      <c r="J126" s="1186"/>
      <c r="K126" s="1186"/>
      <c r="L126" s="1186"/>
      <c r="M126" s="1186"/>
      <c r="N126" s="1186"/>
      <c r="O126" s="1186"/>
      <c r="P126" s="1186"/>
      <c r="Q126" s="1186"/>
      <c r="R126" s="1186"/>
      <c r="S126" s="1186"/>
      <c r="T126" s="1186"/>
      <c r="U126" s="1186"/>
      <c r="V126" s="1186"/>
      <c r="W126" s="1186"/>
      <c r="X126" s="1186"/>
    </row>
    <row r="127" spans="2:24" ht="24" customHeight="1" x14ac:dyDescent="0.25">
      <c r="B127" s="1186" t="s">
        <v>1733</v>
      </c>
      <c r="C127" s="1186"/>
      <c r="D127" s="1186"/>
      <c r="E127" s="1186"/>
      <c r="F127" s="1186"/>
      <c r="G127" s="1186"/>
      <c r="H127" s="1186"/>
      <c r="I127" s="1186"/>
      <c r="J127" s="1186"/>
      <c r="K127" s="1186"/>
      <c r="L127" s="1186"/>
      <c r="M127" s="1186"/>
      <c r="N127" s="1186"/>
      <c r="O127" s="1186"/>
      <c r="P127" s="1186"/>
      <c r="Q127" s="1186"/>
      <c r="R127" s="1186"/>
      <c r="S127" s="1186"/>
      <c r="T127" s="1186"/>
      <c r="U127" s="1186"/>
      <c r="V127" s="1186"/>
      <c r="W127" s="1186"/>
      <c r="X127" s="1186"/>
    </row>
    <row r="128" spans="2:24" ht="24" customHeight="1" x14ac:dyDescent="0.25">
      <c r="B128" s="1186" t="s">
        <v>1734</v>
      </c>
      <c r="C128" s="1186"/>
      <c r="D128" s="1186"/>
      <c r="E128" s="1186"/>
      <c r="F128" s="1186"/>
      <c r="G128" s="1186"/>
      <c r="H128" s="1186"/>
      <c r="I128" s="1186"/>
      <c r="J128" s="1186"/>
      <c r="K128" s="1186"/>
      <c r="L128" s="1186"/>
      <c r="M128" s="1186"/>
      <c r="N128" s="1186"/>
      <c r="O128" s="1186"/>
      <c r="P128" s="1186"/>
      <c r="Q128" s="1186"/>
      <c r="R128" s="1186"/>
      <c r="S128" s="1186"/>
      <c r="T128" s="1186"/>
      <c r="U128" s="1186"/>
      <c r="V128" s="1186"/>
      <c r="W128" s="1186"/>
      <c r="X128" s="1186"/>
    </row>
    <row r="129" spans="2:24" ht="24" customHeight="1" x14ac:dyDescent="0.25">
      <c r="B129" s="1188" t="s">
        <v>1735</v>
      </c>
      <c r="C129" s="1188"/>
      <c r="D129" s="1188"/>
      <c r="E129" s="1188"/>
      <c r="F129" s="1188"/>
      <c r="G129" s="1188"/>
      <c r="H129" s="1188"/>
      <c r="I129" s="1188"/>
      <c r="J129" s="1188"/>
      <c r="K129" s="1188"/>
      <c r="L129" s="1188"/>
      <c r="M129" s="1188"/>
      <c r="N129" s="1188"/>
      <c r="O129" s="1188"/>
      <c r="P129" s="1188"/>
      <c r="Q129" s="1188"/>
      <c r="R129" s="1188"/>
      <c r="S129" s="1188"/>
      <c r="T129" s="1188"/>
      <c r="U129" s="1188"/>
      <c r="V129" s="1188"/>
      <c r="W129" s="1188"/>
      <c r="X129" s="1188"/>
    </row>
    <row r="130" spans="2:24" ht="24" customHeight="1" x14ac:dyDescent="0.25">
      <c r="B130" s="1188" t="s">
        <v>1736</v>
      </c>
      <c r="C130" s="1188"/>
      <c r="D130" s="1188"/>
      <c r="E130" s="1188"/>
      <c r="F130" s="1188"/>
      <c r="G130" s="1188"/>
      <c r="H130" s="1188"/>
      <c r="I130" s="1188"/>
      <c r="J130" s="1188"/>
      <c r="K130" s="1188"/>
      <c r="L130" s="1188"/>
      <c r="M130" s="1188"/>
      <c r="N130" s="1188"/>
      <c r="O130" s="1188"/>
      <c r="P130" s="1188"/>
      <c r="Q130" s="1188"/>
      <c r="R130" s="1188"/>
      <c r="S130" s="1188"/>
      <c r="T130" s="1188"/>
      <c r="U130" s="1188"/>
      <c r="V130" s="1188"/>
      <c r="W130" s="1188"/>
      <c r="X130" s="1188"/>
    </row>
    <row r="131" spans="2:24" ht="10.9" customHeight="1" thickBot="1" x14ac:dyDescent="0.3">
      <c r="B131" s="1184"/>
      <c r="C131" s="1184"/>
      <c r="D131" s="1184"/>
      <c r="E131" s="1184"/>
      <c r="F131" s="1184"/>
      <c r="G131" s="1184"/>
      <c r="H131" s="1184"/>
      <c r="I131" s="1184"/>
      <c r="J131" s="1184"/>
      <c r="K131" s="1184"/>
      <c r="L131" s="1184"/>
      <c r="M131" s="1184"/>
      <c r="N131" s="1184"/>
      <c r="O131" s="1184"/>
      <c r="P131" s="1184"/>
      <c r="Q131" s="1184"/>
      <c r="R131" s="1184"/>
      <c r="S131" s="1184"/>
      <c r="T131" s="1184"/>
      <c r="U131" s="1184"/>
      <c r="V131" s="1184"/>
      <c r="W131" s="1184"/>
      <c r="X131" s="1184"/>
    </row>
    <row r="132" spans="2:24" ht="12" customHeight="1" x14ac:dyDescent="0.25">
      <c r="B132" s="1189" t="s">
        <v>1737</v>
      </c>
      <c r="C132" s="1189"/>
      <c r="D132" s="1189"/>
      <c r="E132" s="1189"/>
      <c r="F132" s="1189"/>
      <c r="G132" s="1189"/>
      <c r="H132" s="1189"/>
      <c r="I132" s="1189"/>
      <c r="J132" s="1189"/>
      <c r="K132" s="1189"/>
      <c r="L132" s="1189"/>
      <c r="M132" s="1189"/>
      <c r="N132" s="1189"/>
      <c r="O132" s="1189"/>
      <c r="P132" s="1189"/>
      <c r="Q132" s="1189"/>
      <c r="R132" s="1190" t="s">
        <v>1738</v>
      </c>
      <c r="S132" s="1190"/>
      <c r="T132" s="1190"/>
      <c r="U132" s="1190"/>
      <c r="V132" s="1190"/>
      <c r="W132" s="1190"/>
      <c r="X132" s="1190"/>
    </row>
    <row r="133" spans="2:24" ht="24" customHeight="1" x14ac:dyDescent="0.25">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row>
    <row r="134" spans="2:24" ht="24" customHeight="1" x14ac:dyDescent="0.25">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row>
    <row r="135" spans="2:24" ht="24" customHeight="1" x14ac:dyDescent="0.25">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row>
    <row r="136" spans="2:24" ht="24" customHeight="1" x14ac:dyDescent="0.25">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row>
    <row r="137" spans="2:24" ht="24" customHeight="1" x14ac:dyDescent="0.25">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row>
    <row r="138" spans="2:24" ht="24" customHeight="1" x14ac:dyDescent="0.25">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row>
    <row r="139" spans="2:24" ht="24" customHeight="1" x14ac:dyDescent="0.25">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row>
    <row r="140" spans="2:24" ht="24" customHeight="1" x14ac:dyDescent="0.25">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row>
    <row r="141" spans="2:24" ht="24" customHeight="1" x14ac:dyDescent="0.25">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row>
    <row r="142" spans="2:24" ht="24" customHeight="1" x14ac:dyDescent="0.25">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row>
    <row r="143" spans="2:24" ht="24" customHeight="1" x14ac:dyDescent="0.25">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row>
    <row r="144" spans="2:24" ht="24" customHeight="1" x14ac:dyDescent="0.25">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row>
    <row r="145" spans="2:24" ht="24" customHeight="1" x14ac:dyDescent="0.25">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row>
    <row r="146" spans="2:24" ht="24" customHeight="1" x14ac:dyDescent="0.25">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row>
    <row r="147" spans="2:24" ht="24" customHeight="1" x14ac:dyDescent="0.25">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row>
    <row r="148" spans="2:24" ht="24" customHeight="1" x14ac:dyDescent="0.25">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row>
    <row r="149" spans="2:24" ht="24" customHeight="1" x14ac:dyDescent="0.25">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row>
    <row r="150" spans="2:24" ht="24" customHeight="1" x14ac:dyDescent="0.25">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row>
    <row r="151" spans="2:24" ht="24" customHeight="1" x14ac:dyDescent="0.25">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row>
    <row r="152" spans="2:24" ht="24" customHeight="1" x14ac:dyDescent="0.25">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row>
    <row r="153" spans="2:24" ht="24" customHeight="1" x14ac:dyDescent="0.25">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row>
    <row r="154" spans="2:24" ht="24" customHeight="1" x14ac:dyDescent="0.25">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row>
    <row r="155" spans="2:24" ht="24" customHeight="1" x14ac:dyDescent="0.25">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row>
    <row r="156" spans="2:24" ht="24" customHeight="1" x14ac:dyDescent="0.25">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row>
    <row r="157" spans="2:24" ht="24" customHeight="1" x14ac:dyDescent="0.25">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row>
    <row r="158" spans="2:24" ht="24" customHeight="1" x14ac:dyDescent="0.25">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row>
    <row r="159" spans="2:24" ht="24" customHeight="1" x14ac:dyDescent="0.25">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row>
    <row r="160" spans="2:24" ht="24" customHeight="1" x14ac:dyDescent="0.25">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row>
    <row r="161" spans="2:24" ht="24" customHeight="1" x14ac:dyDescent="0.25">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row>
    <row r="162" spans="2:24" ht="24" customHeight="1" x14ac:dyDescent="0.25">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row>
    <row r="163" spans="2:24" ht="24" customHeight="1" x14ac:dyDescent="0.25">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row>
    <row r="164" spans="2:24" ht="24" customHeight="1" x14ac:dyDescent="0.25">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row>
    <row r="165" spans="2:24" ht="24" customHeight="1" x14ac:dyDescent="0.25">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row>
    <row r="166" spans="2:24" ht="24" customHeight="1" x14ac:dyDescent="0.25">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row>
    <row r="167" spans="2:24" ht="24" customHeight="1" x14ac:dyDescent="0.25">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row>
    <row r="168" spans="2:24" ht="24" customHeight="1" x14ac:dyDescent="0.25">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row>
    <row r="169" spans="2:24" ht="24" customHeight="1" x14ac:dyDescent="0.25">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row>
    <row r="170" spans="2:24" ht="24" customHeight="1" x14ac:dyDescent="0.25">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row>
    <row r="171" spans="2:24" ht="24" customHeight="1" x14ac:dyDescent="0.25">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row>
    <row r="172" spans="2:24" ht="24" customHeight="1" x14ac:dyDescent="0.25">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row>
    <row r="173" spans="2:24" ht="24" customHeight="1" x14ac:dyDescent="0.25">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row>
    <row r="174" spans="2:24" ht="24" customHeight="1" x14ac:dyDescent="0.25">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row>
    <row r="175" spans="2:24" ht="24" customHeight="1" x14ac:dyDescent="0.25">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row>
    <row r="176" spans="2:24" ht="24" customHeight="1" x14ac:dyDescent="0.25">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row>
    <row r="177" spans="2:24" ht="24" customHeight="1" x14ac:dyDescent="0.25">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row>
    <row r="178" spans="2:24" ht="24" customHeight="1" x14ac:dyDescent="0.25">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row>
    <row r="179" spans="2:24" ht="24" customHeight="1" x14ac:dyDescent="0.25">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row>
    <row r="180" spans="2:24" ht="24" customHeight="1" x14ac:dyDescent="0.25">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row>
    <row r="181" spans="2:24" ht="24" customHeight="1" x14ac:dyDescent="0.25">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row>
    <row r="182" spans="2:24" ht="24" customHeight="1" x14ac:dyDescent="0.25">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row>
    <row r="183" spans="2:24" ht="24" customHeight="1" x14ac:dyDescent="0.25">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row>
    <row r="184" spans="2:24" ht="24" customHeight="1" x14ac:dyDescent="0.25">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row>
    <row r="185" spans="2:24" ht="24" customHeight="1" x14ac:dyDescent="0.25">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row>
    <row r="186" spans="2:24" ht="24" customHeight="1" x14ac:dyDescent="0.25">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row>
    <row r="187" spans="2:24" ht="24" customHeight="1" x14ac:dyDescent="0.25">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row>
    <row r="188" spans="2:24" ht="24" customHeight="1" x14ac:dyDescent="0.25">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row>
    <row r="189" spans="2:24" ht="24" customHeight="1" x14ac:dyDescent="0.25">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row>
    <row r="190" spans="2:24" ht="24" customHeight="1" x14ac:dyDescent="0.25">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row>
    <row r="191" spans="2:24" ht="24" customHeight="1" x14ac:dyDescent="0.25">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row>
    <row r="192" spans="2:24" ht="24" customHeight="1" x14ac:dyDescent="0.25">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row>
    <row r="193" spans="2:24" ht="24" customHeight="1" x14ac:dyDescent="0.25">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row>
    <row r="194" spans="2:24" ht="24" customHeight="1" x14ac:dyDescent="0.25">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row>
    <row r="195" spans="2:24" ht="24" customHeight="1" x14ac:dyDescent="0.25">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row>
    <row r="196" spans="2:24" ht="24" customHeight="1" x14ac:dyDescent="0.25">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row>
    <row r="197" spans="2:24" ht="24" customHeight="1" x14ac:dyDescent="0.25">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row>
    <row r="198" spans="2:24" ht="24" customHeight="1" x14ac:dyDescent="0.25">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row>
    <row r="199" spans="2:24" ht="24" customHeight="1" x14ac:dyDescent="0.25">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row>
    <row r="200" spans="2:24" ht="24" customHeight="1" x14ac:dyDescent="0.25">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row>
    <row r="201" spans="2:24" ht="24" customHeight="1" x14ac:dyDescent="0.25">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row>
    <row r="202" spans="2:24" ht="24" customHeight="1" x14ac:dyDescent="0.25">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row>
    <row r="203" spans="2:24" x14ac:dyDescent="0.25">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row>
    <row r="204" spans="2:24" x14ac:dyDescent="0.25">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row>
    <row r="205" spans="2:24" x14ac:dyDescent="0.25">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row>
    <row r="206" spans="2:24" x14ac:dyDescent="0.25">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row>
    <row r="207" spans="2:24" x14ac:dyDescent="0.25">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row>
    <row r="208" spans="2:24" x14ac:dyDescent="0.25">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row>
    <row r="209" spans="2:24" x14ac:dyDescent="0.25">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row>
    <row r="210" spans="2:24" x14ac:dyDescent="0.25">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row>
    <row r="211" spans="2:24" x14ac:dyDescent="0.25">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row>
    <row r="212" spans="2:24" x14ac:dyDescent="0.25">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row>
    <row r="213" spans="2:24" x14ac:dyDescent="0.25">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row>
    <row r="214" spans="2:24" x14ac:dyDescent="0.25">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row>
    <row r="215" spans="2:24" x14ac:dyDescent="0.25">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row>
    <row r="216" spans="2:24" x14ac:dyDescent="0.25">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row>
    <row r="217" spans="2:24" x14ac:dyDescent="0.25">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row>
    <row r="218" spans="2:24" x14ac:dyDescent="0.25">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row>
    <row r="219" spans="2:24" x14ac:dyDescent="0.25">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row>
    <row r="220" spans="2:24" x14ac:dyDescent="0.25">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row>
    <row r="221" spans="2:24" x14ac:dyDescent="0.25">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row>
    <row r="222" spans="2:24" x14ac:dyDescent="0.25">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row>
    <row r="223" spans="2:24" x14ac:dyDescent="0.25">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row>
    <row r="224" spans="2:24" x14ac:dyDescent="0.25">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row>
    <row r="225" spans="2:24" x14ac:dyDescent="0.25">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row>
    <row r="226" spans="2:24" x14ac:dyDescent="0.25">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row>
    <row r="227" spans="2:24" x14ac:dyDescent="0.25">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row>
    <row r="228" spans="2:24" x14ac:dyDescent="0.25">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row>
    <row r="229" spans="2:24" x14ac:dyDescent="0.25">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row>
    <row r="230" spans="2:24" x14ac:dyDescent="0.25">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row>
    <row r="231" spans="2:24" x14ac:dyDescent="0.25">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row>
    <row r="232" spans="2:24" x14ac:dyDescent="0.25">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row>
    <row r="233" spans="2:24" x14ac:dyDescent="0.25">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row>
    <row r="234" spans="2:24" x14ac:dyDescent="0.25">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row>
    <row r="235" spans="2:24" x14ac:dyDescent="0.25">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row>
    <row r="236" spans="2:24" x14ac:dyDescent="0.25">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row>
    <row r="237" spans="2:24" x14ac:dyDescent="0.25">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row>
    <row r="238" spans="2:24" x14ac:dyDescent="0.25">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row>
    <row r="239" spans="2:24" x14ac:dyDescent="0.25">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row>
    <row r="240" spans="2:24" x14ac:dyDescent="0.25">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row>
    <row r="241" spans="2:24" x14ac:dyDescent="0.25">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row>
    <row r="242" spans="2:24" x14ac:dyDescent="0.25">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row>
    <row r="243" spans="2:24" x14ac:dyDescent="0.25">
      <c r="B243" s="193"/>
      <c r="C243" s="193"/>
      <c r="D243" s="193"/>
      <c r="E243" s="193"/>
      <c r="F243" s="193"/>
      <c r="G243" s="193"/>
      <c r="H243" s="193"/>
      <c r="I243" s="193"/>
      <c r="J243" s="193"/>
      <c r="K243" s="193"/>
      <c r="L243" s="193"/>
      <c r="M243" s="193"/>
      <c r="N243" s="193"/>
      <c r="O243" s="193"/>
      <c r="P243" s="193"/>
      <c r="Q243" s="193"/>
      <c r="R243" s="193"/>
      <c r="S243" s="193"/>
      <c r="T243" s="193"/>
      <c r="U243" s="193"/>
      <c r="V243" s="193"/>
      <c r="W243" s="193"/>
      <c r="X243" s="193"/>
    </row>
    <row r="244" spans="2:24" x14ac:dyDescent="0.25">
      <c r="B244" s="193"/>
      <c r="C244" s="193"/>
      <c r="D244" s="193"/>
      <c r="E244" s="193"/>
      <c r="F244" s="193"/>
      <c r="G244" s="193"/>
      <c r="H244" s="193"/>
      <c r="I244" s="193"/>
      <c r="J244" s="193"/>
      <c r="K244" s="193"/>
      <c r="L244" s="193"/>
      <c r="M244" s="193"/>
      <c r="N244" s="193"/>
      <c r="O244" s="193"/>
      <c r="P244" s="193"/>
      <c r="Q244" s="193"/>
      <c r="R244" s="193"/>
      <c r="S244" s="193"/>
      <c r="T244" s="193"/>
      <c r="U244" s="193"/>
      <c r="V244" s="193"/>
      <c r="W244" s="193"/>
      <c r="X244" s="193"/>
    </row>
    <row r="245" spans="2:24" x14ac:dyDescent="0.25">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row>
    <row r="246" spans="2:24" x14ac:dyDescent="0.25">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row>
    <row r="247" spans="2:24" x14ac:dyDescent="0.25">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row>
    <row r="248" spans="2:24" x14ac:dyDescent="0.25">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row>
    <row r="249" spans="2:24" x14ac:dyDescent="0.25">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c r="X249" s="193"/>
    </row>
    <row r="250" spans="2:24" x14ac:dyDescent="0.25">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row>
    <row r="251" spans="2:24" x14ac:dyDescent="0.25">
      <c r="B251" s="193"/>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row>
    <row r="252" spans="2:24" x14ac:dyDescent="0.25">
      <c r="B252" s="193"/>
      <c r="C252" s="193"/>
      <c r="D252" s="193"/>
      <c r="E252" s="193"/>
      <c r="F252" s="193"/>
      <c r="G252" s="193"/>
      <c r="H252" s="193"/>
      <c r="I252" s="193"/>
      <c r="J252" s="193"/>
      <c r="K252" s="193"/>
      <c r="L252" s="193"/>
      <c r="M252" s="193"/>
      <c r="N252" s="193"/>
      <c r="O252" s="193"/>
      <c r="P252" s="193"/>
      <c r="Q252" s="193"/>
      <c r="R252" s="193"/>
      <c r="S252" s="193"/>
      <c r="T252" s="193"/>
      <c r="U252" s="193"/>
      <c r="V252" s="193"/>
      <c r="W252" s="193"/>
      <c r="X252" s="193"/>
    </row>
    <row r="253" spans="2:24" x14ac:dyDescent="0.25">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row>
    <row r="254" spans="2:24" x14ac:dyDescent="0.25">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row>
    <row r="255" spans="2:24" x14ac:dyDescent="0.25">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row>
    <row r="256" spans="2:24" x14ac:dyDescent="0.25">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row>
    <row r="257" spans="2:24" x14ac:dyDescent="0.25">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row>
    <row r="258" spans="2:24" x14ac:dyDescent="0.25">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row>
    <row r="259" spans="2:24" x14ac:dyDescent="0.25">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row>
    <row r="260" spans="2:24" x14ac:dyDescent="0.25">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row>
    <row r="261" spans="2:24" x14ac:dyDescent="0.25">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row>
    <row r="262" spans="2:24" x14ac:dyDescent="0.25">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row>
    <row r="263" spans="2:24" x14ac:dyDescent="0.25">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row>
    <row r="264" spans="2:24" x14ac:dyDescent="0.25">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row>
    <row r="265" spans="2:24" x14ac:dyDescent="0.25">
      <c r="B265" s="193"/>
      <c r="C265" s="193"/>
      <c r="D265" s="193"/>
      <c r="E265" s="193"/>
      <c r="F265" s="193"/>
      <c r="G265" s="193"/>
      <c r="H265" s="193"/>
      <c r="I265" s="193"/>
      <c r="J265" s="193"/>
      <c r="K265" s="193"/>
      <c r="L265" s="193"/>
      <c r="M265" s="193"/>
      <c r="N265" s="193"/>
      <c r="O265" s="193"/>
      <c r="P265" s="193"/>
      <c r="Q265" s="193"/>
      <c r="R265" s="193"/>
      <c r="S265" s="193"/>
      <c r="T265" s="193"/>
      <c r="U265" s="193"/>
      <c r="V265" s="193"/>
      <c r="W265" s="193"/>
      <c r="X265" s="193"/>
    </row>
    <row r="266" spans="2:24" x14ac:dyDescent="0.25">
      <c r="B266" s="193"/>
      <c r="C266" s="193"/>
      <c r="D266" s="193"/>
      <c r="E266" s="193"/>
      <c r="F266" s="193"/>
      <c r="G266" s="193"/>
      <c r="H266" s="193"/>
      <c r="I266" s="193"/>
      <c r="J266" s="193"/>
      <c r="K266" s="193"/>
      <c r="L266" s="193"/>
      <c r="M266" s="193"/>
      <c r="N266" s="193"/>
      <c r="O266" s="193"/>
      <c r="P266" s="193"/>
      <c r="Q266" s="193"/>
      <c r="R266" s="193"/>
      <c r="S266" s="193"/>
      <c r="T266" s="193"/>
      <c r="U266" s="193"/>
      <c r="V266" s="193"/>
      <c r="W266" s="193"/>
      <c r="X266" s="193"/>
    </row>
    <row r="267" spans="2:24" x14ac:dyDescent="0.25">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row>
    <row r="268" spans="2:24" x14ac:dyDescent="0.25">
      <c r="B268" s="193"/>
      <c r="C268" s="193"/>
      <c r="D268" s="193"/>
      <c r="E268" s="193"/>
      <c r="F268" s="193"/>
      <c r="G268" s="193"/>
      <c r="H268" s="193"/>
      <c r="I268" s="193"/>
      <c r="J268" s="193"/>
      <c r="K268" s="193"/>
      <c r="L268" s="193"/>
      <c r="M268" s="193"/>
      <c r="N268" s="193"/>
      <c r="O268" s="193"/>
      <c r="P268" s="193"/>
      <c r="Q268" s="193"/>
      <c r="R268" s="193"/>
      <c r="S268" s="193"/>
      <c r="T268" s="193"/>
      <c r="U268" s="193"/>
      <c r="V268" s="193"/>
      <c r="W268" s="193"/>
      <c r="X268" s="193"/>
    </row>
    <row r="269" spans="2:24" x14ac:dyDescent="0.25">
      <c r="B269" s="193"/>
      <c r="C269" s="193"/>
      <c r="D269" s="193"/>
      <c r="E269" s="193"/>
      <c r="F269" s="193"/>
      <c r="G269" s="193"/>
      <c r="H269" s="193"/>
      <c r="I269" s="193"/>
      <c r="J269" s="193"/>
      <c r="K269" s="193"/>
      <c r="L269" s="193"/>
      <c r="M269" s="193"/>
      <c r="N269" s="193"/>
      <c r="O269" s="193"/>
      <c r="P269" s="193"/>
      <c r="Q269" s="193"/>
      <c r="R269" s="193"/>
      <c r="S269" s="193"/>
      <c r="T269" s="193"/>
      <c r="U269" s="193"/>
      <c r="V269" s="193"/>
      <c r="W269" s="193"/>
      <c r="X269" s="193"/>
    </row>
    <row r="270" spans="2:24" x14ac:dyDescent="0.25">
      <c r="B270" s="193"/>
      <c r="C270" s="193"/>
      <c r="D270" s="193"/>
      <c r="E270" s="193"/>
      <c r="F270" s="193"/>
      <c r="G270" s="193"/>
      <c r="H270" s="193"/>
      <c r="I270" s="193"/>
      <c r="J270" s="193"/>
      <c r="K270" s="193"/>
      <c r="L270" s="193"/>
      <c r="M270" s="193"/>
      <c r="N270" s="193"/>
      <c r="O270" s="193"/>
      <c r="P270" s="193"/>
      <c r="Q270" s="193"/>
      <c r="R270" s="193"/>
      <c r="S270" s="193"/>
      <c r="T270" s="193"/>
      <c r="U270" s="193"/>
      <c r="V270" s="193"/>
      <c r="W270" s="193"/>
      <c r="X270" s="193"/>
    </row>
    <row r="271" spans="2:24" x14ac:dyDescent="0.25">
      <c r="B271" s="193"/>
      <c r="C271" s="193"/>
      <c r="D271" s="193"/>
      <c r="E271" s="193"/>
      <c r="F271" s="193"/>
      <c r="G271" s="193"/>
      <c r="H271" s="193"/>
      <c r="I271" s="193"/>
      <c r="J271" s="193"/>
      <c r="K271" s="193"/>
      <c r="L271" s="193"/>
      <c r="M271" s="193"/>
      <c r="N271" s="193"/>
      <c r="O271" s="193"/>
      <c r="P271" s="193"/>
      <c r="Q271" s="193"/>
      <c r="R271" s="193"/>
      <c r="S271" s="193"/>
      <c r="T271" s="193"/>
      <c r="U271" s="193"/>
      <c r="V271" s="193"/>
      <c r="W271" s="193"/>
      <c r="X271" s="193"/>
    </row>
    <row r="272" spans="2:24" x14ac:dyDescent="0.25">
      <c r="B272" s="193"/>
      <c r="C272" s="193"/>
      <c r="D272" s="193"/>
      <c r="E272" s="193"/>
      <c r="F272" s="193"/>
      <c r="G272" s="193"/>
      <c r="H272" s="193"/>
      <c r="I272" s="193"/>
      <c r="J272" s="193"/>
      <c r="K272" s="193"/>
      <c r="L272" s="193"/>
      <c r="M272" s="193"/>
      <c r="N272" s="193"/>
      <c r="O272" s="193"/>
      <c r="P272" s="193"/>
      <c r="Q272" s="193"/>
      <c r="R272" s="193"/>
      <c r="S272" s="193"/>
      <c r="T272" s="193"/>
      <c r="U272" s="193"/>
      <c r="V272" s="193"/>
      <c r="W272" s="193"/>
      <c r="X272" s="193"/>
    </row>
    <row r="273" spans="2:24" x14ac:dyDescent="0.25">
      <c r="B273" s="193"/>
      <c r="C273" s="193"/>
      <c r="D273" s="193"/>
      <c r="E273" s="193"/>
      <c r="F273" s="193"/>
      <c r="G273" s="193"/>
      <c r="H273" s="193"/>
      <c r="I273" s="193"/>
      <c r="J273" s="193"/>
      <c r="K273" s="193"/>
      <c r="L273" s="193"/>
      <c r="M273" s="193"/>
      <c r="N273" s="193"/>
      <c r="O273" s="193"/>
      <c r="P273" s="193"/>
      <c r="Q273" s="193"/>
      <c r="R273" s="193"/>
      <c r="S273" s="193"/>
      <c r="T273" s="193"/>
      <c r="U273" s="193"/>
      <c r="V273" s="193"/>
      <c r="W273" s="193"/>
      <c r="X273" s="193"/>
    </row>
    <row r="274" spans="2:24" x14ac:dyDescent="0.25">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row>
    <row r="275" spans="2:24" x14ac:dyDescent="0.25">
      <c r="B275" s="193"/>
      <c r="C275" s="193"/>
      <c r="D275" s="193"/>
      <c r="E275" s="193"/>
      <c r="F275" s="193"/>
      <c r="G275" s="193"/>
      <c r="H275" s="193"/>
      <c r="I275" s="193"/>
      <c r="J275" s="193"/>
      <c r="K275" s="193"/>
      <c r="L275" s="193"/>
      <c r="M275" s="193"/>
      <c r="N275" s="193"/>
      <c r="O275" s="193"/>
      <c r="P275" s="193"/>
      <c r="Q275" s="193"/>
      <c r="R275" s="193"/>
      <c r="S275" s="193"/>
      <c r="T275" s="193"/>
      <c r="U275" s="193"/>
      <c r="V275" s="193"/>
      <c r="W275" s="193"/>
      <c r="X275" s="193"/>
    </row>
    <row r="276" spans="2:24" x14ac:dyDescent="0.25">
      <c r="B276" s="193"/>
      <c r="C276" s="193"/>
      <c r="D276" s="193"/>
      <c r="E276" s="193"/>
      <c r="F276" s="193"/>
      <c r="G276" s="193"/>
      <c r="H276" s="193"/>
      <c r="I276" s="193"/>
      <c r="J276" s="193"/>
      <c r="K276" s="193"/>
      <c r="L276" s="193"/>
      <c r="M276" s="193"/>
      <c r="N276" s="193"/>
      <c r="O276" s="193"/>
      <c r="P276" s="193"/>
      <c r="Q276" s="193"/>
      <c r="R276" s="193"/>
      <c r="S276" s="193"/>
      <c r="T276" s="193"/>
      <c r="U276" s="193"/>
      <c r="V276" s="193"/>
      <c r="W276" s="193"/>
      <c r="X276" s="193"/>
    </row>
    <row r="277" spans="2:24" x14ac:dyDescent="0.25">
      <c r="B277" s="193"/>
      <c r="C277" s="193"/>
      <c r="D277" s="193"/>
      <c r="E277" s="193"/>
      <c r="F277" s="193"/>
      <c r="G277" s="193"/>
      <c r="H277" s="193"/>
      <c r="I277" s="193"/>
      <c r="J277" s="193"/>
      <c r="K277" s="193"/>
      <c r="L277" s="193"/>
      <c r="M277" s="193"/>
      <c r="N277" s="193"/>
      <c r="O277" s="193"/>
      <c r="P277" s="193"/>
      <c r="Q277" s="193"/>
      <c r="R277" s="193"/>
      <c r="S277" s="193"/>
      <c r="T277" s="193"/>
      <c r="U277" s="193"/>
      <c r="V277" s="193"/>
      <c r="W277" s="193"/>
      <c r="X277" s="193"/>
    </row>
    <row r="278" spans="2:24" x14ac:dyDescent="0.25">
      <c r="B278" s="193"/>
      <c r="C278" s="193"/>
      <c r="D278" s="193"/>
      <c r="E278" s="193"/>
      <c r="F278" s="193"/>
      <c r="G278" s="193"/>
      <c r="H278" s="193"/>
      <c r="I278" s="193"/>
      <c r="J278" s="193"/>
      <c r="K278" s="193"/>
      <c r="L278" s="193"/>
      <c r="M278" s="193"/>
      <c r="N278" s="193"/>
      <c r="O278" s="193"/>
      <c r="P278" s="193"/>
      <c r="Q278" s="193"/>
      <c r="R278" s="193"/>
      <c r="S278" s="193"/>
      <c r="T278" s="193"/>
      <c r="U278" s="193"/>
      <c r="V278" s="193"/>
      <c r="W278" s="193"/>
      <c r="X278" s="193"/>
    </row>
    <row r="279" spans="2:24" x14ac:dyDescent="0.25">
      <c r="B279" s="193"/>
      <c r="C279" s="193"/>
      <c r="D279" s="193"/>
      <c r="E279" s="193"/>
      <c r="F279" s="193"/>
      <c r="G279" s="193"/>
      <c r="H279" s="193"/>
      <c r="I279" s="193"/>
      <c r="J279" s="193"/>
      <c r="K279" s="193"/>
      <c r="L279" s="193"/>
      <c r="M279" s="193"/>
      <c r="N279" s="193"/>
      <c r="O279" s="193"/>
      <c r="P279" s="193"/>
      <c r="Q279" s="193"/>
      <c r="R279" s="193"/>
      <c r="S279" s="193"/>
      <c r="T279" s="193"/>
      <c r="U279" s="193"/>
      <c r="V279" s="193"/>
      <c r="W279" s="193"/>
      <c r="X279" s="193"/>
    </row>
    <row r="280" spans="2:24" x14ac:dyDescent="0.25">
      <c r="B280" s="193"/>
      <c r="C280" s="193"/>
      <c r="D280" s="193"/>
      <c r="E280" s="193"/>
      <c r="F280" s="193"/>
      <c r="G280" s="193"/>
      <c r="H280" s="193"/>
      <c r="I280" s="193"/>
      <c r="J280" s="193"/>
      <c r="K280" s="193"/>
      <c r="L280" s="193"/>
      <c r="M280" s="193"/>
      <c r="N280" s="193"/>
      <c r="O280" s="193"/>
      <c r="P280" s="193"/>
      <c r="Q280" s="193"/>
      <c r="R280" s="193"/>
      <c r="S280" s="193"/>
      <c r="T280" s="193"/>
      <c r="U280" s="193"/>
      <c r="V280" s="193"/>
      <c r="W280" s="193"/>
      <c r="X280" s="193"/>
    </row>
    <row r="281" spans="2:24" x14ac:dyDescent="0.25">
      <c r="B281" s="193"/>
      <c r="C281" s="193"/>
      <c r="D281" s="193"/>
      <c r="E281" s="193"/>
      <c r="F281" s="193"/>
      <c r="G281" s="193"/>
      <c r="H281" s="193"/>
      <c r="I281" s="193"/>
      <c r="J281" s="193"/>
      <c r="K281" s="193"/>
      <c r="L281" s="193"/>
      <c r="M281" s="193"/>
      <c r="N281" s="193"/>
      <c r="O281" s="193"/>
      <c r="P281" s="193"/>
      <c r="Q281" s="193"/>
      <c r="R281" s="193"/>
      <c r="S281" s="193"/>
      <c r="T281" s="193"/>
      <c r="U281" s="193"/>
      <c r="V281" s="193"/>
      <c r="W281" s="193"/>
      <c r="X281" s="193"/>
    </row>
    <row r="282" spans="2:24" x14ac:dyDescent="0.25">
      <c r="B282" s="193"/>
      <c r="C282" s="193"/>
      <c r="D282" s="193"/>
      <c r="E282" s="193"/>
      <c r="F282" s="193"/>
      <c r="G282" s="193"/>
      <c r="H282" s="193"/>
      <c r="I282" s="193"/>
      <c r="J282" s="193"/>
      <c r="K282" s="193"/>
      <c r="L282" s="193"/>
      <c r="M282" s="193"/>
      <c r="N282" s="193"/>
      <c r="O282" s="193"/>
      <c r="P282" s="193"/>
      <c r="Q282" s="193"/>
      <c r="R282" s="193"/>
      <c r="S282" s="193"/>
      <c r="T282" s="193"/>
      <c r="U282" s="193"/>
      <c r="V282" s="193"/>
      <c r="W282" s="193"/>
      <c r="X282" s="193"/>
    </row>
    <row r="283" spans="2:24" x14ac:dyDescent="0.25">
      <c r="B283" s="193"/>
      <c r="C283" s="193"/>
      <c r="D283" s="193"/>
      <c r="E283" s="193"/>
      <c r="F283" s="193"/>
      <c r="G283" s="193"/>
      <c r="H283" s="193"/>
      <c r="I283" s="193"/>
      <c r="J283" s="193"/>
      <c r="K283" s="193"/>
      <c r="L283" s="193"/>
      <c r="M283" s="193"/>
      <c r="N283" s="193"/>
      <c r="O283" s="193"/>
      <c r="P283" s="193"/>
      <c r="Q283" s="193"/>
      <c r="R283" s="193"/>
      <c r="S283" s="193"/>
      <c r="T283" s="193"/>
      <c r="U283" s="193"/>
      <c r="V283" s="193"/>
      <c r="W283" s="193"/>
      <c r="X283" s="193"/>
    </row>
    <row r="284" spans="2:24" x14ac:dyDescent="0.25">
      <c r="B284" s="193"/>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row>
    <row r="285" spans="2:24" x14ac:dyDescent="0.25">
      <c r="B285" s="193"/>
      <c r="C285" s="193"/>
      <c r="D285" s="193"/>
      <c r="E285" s="193"/>
      <c r="F285" s="193"/>
      <c r="G285" s="193"/>
      <c r="H285" s="193"/>
      <c r="I285" s="193"/>
      <c r="J285" s="193"/>
      <c r="K285" s="193"/>
      <c r="L285" s="193"/>
      <c r="M285" s="193"/>
      <c r="N285" s="193"/>
      <c r="O285" s="193"/>
      <c r="P285" s="193"/>
      <c r="Q285" s="193"/>
      <c r="R285" s="193"/>
      <c r="S285" s="193"/>
      <c r="T285" s="193"/>
      <c r="U285" s="193"/>
      <c r="V285" s="193"/>
      <c r="W285" s="193"/>
      <c r="X285" s="193"/>
    </row>
    <row r="286" spans="2:24" x14ac:dyDescent="0.25">
      <c r="B286" s="193"/>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row>
    <row r="287" spans="2:24" x14ac:dyDescent="0.25">
      <c r="B287" s="193"/>
      <c r="C287" s="193"/>
      <c r="D287" s="193"/>
      <c r="E287" s="193"/>
      <c r="F287" s="193"/>
      <c r="G287" s="193"/>
      <c r="H287" s="193"/>
      <c r="I287" s="193"/>
      <c r="J287" s="193"/>
      <c r="K287" s="193"/>
      <c r="L287" s="193"/>
      <c r="M287" s="193"/>
      <c r="N287" s="193"/>
      <c r="O287" s="193"/>
      <c r="P287" s="193"/>
      <c r="Q287" s="193"/>
      <c r="R287" s="193"/>
      <c r="S287" s="193"/>
      <c r="T287" s="193"/>
      <c r="U287" s="193"/>
      <c r="V287" s="193"/>
      <c r="W287" s="193"/>
      <c r="X287" s="193"/>
    </row>
    <row r="288" spans="2:24" x14ac:dyDescent="0.25">
      <c r="B288" s="19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row>
    <row r="289" spans="2:24" x14ac:dyDescent="0.25">
      <c r="B289" s="193"/>
      <c r="C289" s="193"/>
      <c r="D289" s="193"/>
      <c r="E289" s="193"/>
      <c r="F289" s="193"/>
      <c r="G289" s="193"/>
      <c r="H289" s="193"/>
      <c r="I289" s="193"/>
      <c r="J289" s="193"/>
      <c r="K289" s="193"/>
      <c r="L289" s="193"/>
      <c r="M289" s="193"/>
      <c r="N289" s="193"/>
      <c r="O289" s="193"/>
      <c r="P289" s="193"/>
      <c r="Q289" s="193"/>
      <c r="R289" s="193"/>
      <c r="S289" s="193"/>
      <c r="T289" s="193"/>
      <c r="U289" s="193"/>
      <c r="V289" s="193"/>
      <c r="W289" s="193"/>
      <c r="X289" s="193"/>
    </row>
    <row r="290" spans="2:24" x14ac:dyDescent="0.25">
      <c r="B290" s="193"/>
      <c r="C290" s="193"/>
      <c r="D290" s="193"/>
      <c r="E290" s="193"/>
      <c r="F290" s="193"/>
      <c r="G290" s="193"/>
      <c r="H290" s="193"/>
      <c r="I290" s="193"/>
      <c r="J290" s="193"/>
      <c r="K290" s="193"/>
      <c r="L290" s="193"/>
      <c r="M290" s="193"/>
      <c r="N290" s="193"/>
      <c r="O290" s="193"/>
      <c r="P290" s="193"/>
      <c r="Q290" s="193"/>
      <c r="R290" s="193"/>
      <c r="S290" s="193"/>
      <c r="T290" s="193"/>
      <c r="U290" s="193"/>
      <c r="V290" s="193"/>
      <c r="W290" s="193"/>
      <c r="X290" s="193"/>
    </row>
    <row r="291" spans="2:24" x14ac:dyDescent="0.25">
      <c r="B291" s="193"/>
      <c r="C291" s="193"/>
      <c r="D291" s="193"/>
      <c r="E291" s="193"/>
      <c r="F291" s="193"/>
      <c r="G291" s="193"/>
      <c r="H291" s="193"/>
      <c r="I291" s="193"/>
      <c r="J291" s="193"/>
      <c r="K291" s="193"/>
      <c r="L291" s="193"/>
      <c r="M291" s="193"/>
      <c r="N291" s="193"/>
      <c r="O291" s="193"/>
      <c r="P291" s="193"/>
      <c r="Q291" s="193"/>
      <c r="R291" s="193"/>
      <c r="S291" s="193"/>
      <c r="T291" s="193"/>
      <c r="U291" s="193"/>
      <c r="V291" s="193"/>
      <c r="W291" s="193"/>
      <c r="X291" s="193"/>
    </row>
  </sheetData>
  <sheetProtection algorithmName="SHA-512" hashValue="/vQudFQXENtu5sD9E9EBQ8FQNlfOVifYCn9LjOAb8mDR2j64dWl2OZAJK+eL7Tf730HwMuo7TsjNlAtaTwaBzA==" saltValue="dTgNAgyZzbGVaPiYbkvZBA==" spinCount="100000" sheet="1" selectLockedCells="1"/>
  <mergeCells count="211">
    <mergeCell ref="B96:X96"/>
    <mergeCell ref="N97:Q97"/>
    <mergeCell ref="S97:T97"/>
    <mergeCell ref="U97:X97"/>
    <mergeCell ref="B101:F101"/>
    <mergeCell ref="G101:P101"/>
    <mergeCell ref="S104:T104"/>
    <mergeCell ref="N104:Q104"/>
    <mergeCell ref="U104:X104"/>
    <mergeCell ref="B98:E98"/>
    <mergeCell ref="Q98:R98"/>
    <mergeCell ref="S98:X98"/>
    <mergeCell ref="B102:F102"/>
    <mergeCell ref="G102:X102"/>
    <mergeCell ref="B97:C97"/>
    <mergeCell ref="D97:L97"/>
    <mergeCell ref="B103:X103"/>
    <mergeCell ref="B104:C104"/>
    <mergeCell ref="D104:L104"/>
    <mergeCell ref="B99:F99"/>
    <mergeCell ref="G99:T99"/>
    <mergeCell ref="V99:X99"/>
    <mergeCell ref="B100:X100"/>
    <mergeCell ref="Q101:R101"/>
    <mergeCell ref="B91:X91"/>
    <mergeCell ref="C92:X92"/>
    <mergeCell ref="B93:X93"/>
    <mergeCell ref="B94:X94"/>
    <mergeCell ref="B95:C95"/>
    <mergeCell ref="D95:E95"/>
    <mergeCell ref="F95:H95"/>
    <mergeCell ref="I95:J95"/>
    <mergeCell ref="K95:M95"/>
    <mergeCell ref="N95:O95"/>
    <mergeCell ref="P95:Q95"/>
    <mergeCell ref="R95:T95"/>
    <mergeCell ref="V95:W95"/>
    <mergeCell ref="B6:X6"/>
    <mergeCell ref="V8:X8"/>
    <mergeCell ref="V7:X7"/>
    <mergeCell ref="E8:P8"/>
    <mergeCell ref="C14:G14"/>
    <mergeCell ref="H14:I14"/>
    <mergeCell ref="J14:X14"/>
    <mergeCell ref="C15:G15"/>
    <mergeCell ref="H15:I15"/>
    <mergeCell ref="J15:X15"/>
    <mergeCell ref="B10:X10"/>
    <mergeCell ref="B11:O11"/>
    <mergeCell ref="Q11:S11"/>
    <mergeCell ref="U11:X11"/>
    <mergeCell ref="B12:X12"/>
    <mergeCell ref="C13:G13"/>
    <mergeCell ref="H13:I13"/>
    <mergeCell ref="J13:X13"/>
    <mergeCell ref="B18:X18"/>
    <mergeCell ref="P21:X21"/>
    <mergeCell ref="C22:X22"/>
    <mergeCell ref="C23:X23"/>
    <mergeCell ref="C19:N19"/>
    <mergeCell ref="D16:G16"/>
    <mergeCell ref="H16:I16"/>
    <mergeCell ref="J16:X16"/>
    <mergeCell ref="B17:O17"/>
    <mergeCell ref="Q17:S17"/>
    <mergeCell ref="U17:X17"/>
    <mergeCell ref="C24:F24"/>
    <mergeCell ref="G24:H24"/>
    <mergeCell ref="I24:O24"/>
    <mergeCell ref="P24:Q24"/>
    <mergeCell ref="R24:X24"/>
    <mergeCell ref="B25:B26"/>
    <mergeCell ref="C25:F26"/>
    <mergeCell ref="G25:H25"/>
    <mergeCell ref="I25:O25"/>
    <mergeCell ref="Q25:R25"/>
    <mergeCell ref="C27:X27"/>
    <mergeCell ref="C28:X28"/>
    <mergeCell ref="C29:X29"/>
    <mergeCell ref="B30:X31"/>
    <mergeCell ref="B33:X33"/>
    <mergeCell ref="B34:O34"/>
    <mergeCell ref="Q34:S34"/>
    <mergeCell ref="U34:X34"/>
    <mergeCell ref="S25:V25"/>
    <mergeCell ref="W25:X25"/>
    <mergeCell ref="G26:H26"/>
    <mergeCell ref="I26:O26"/>
    <mergeCell ref="Q26:R26"/>
    <mergeCell ref="S26:V26"/>
    <mergeCell ref="W26:X26"/>
    <mergeCell ref="B51:X51"/>
    <mergeCell ref="B52:O52"/>
    <mergeCell ref="Q52:S52"/>
    <mergeCell ref="U52:X52"/>
    <mergeCell ref="C53:X53"/>
    <mergeCell ref="B54:X58"/>
    <mergeCell ref="D46:X46"/>
    <mergeCell ref="C35:X35"/>
    <mergeCell ref="B36:O36"/>
    <mergeCell ref="Q36:S36"/>
    <mergeCell ref="U36:X36"/>
    <mergeCell ref="B38:X42"/>
    <mergeCell ref="B43:X43"/>
    <mergeCell ref="U37:X37"/>
    <mergeCell ref="Q44:S44"/>
    <mergeCell ref="U44:X44"/>
    <mergeCell ref="C45:X45"/>
    <mergeCell ref="B46:C46"/>
    <mergeCell ref="P89:Q89"/>
    <mergeCell ref="B84:D84"/>
    <mergeCell ref="B69:X69"/>
    <mergeCell ref="C59:O59"/>
    <mergeCell ref="Q59:X59"/>
    <mergeCell ref="B60:X60"/>
    <mergeCell ref="B61:O61"/>
    <mergeCell ref="Q61:S61"/>
    <mergeCell ref="U61:X61"/>
    <mergeCell ref="B70:O70"/>
    <mergeCell ref="Q70:S70"/>
    <mergeCell ref="U70:X70"/>
    <mergeCell ref="B71:X74"/>
    <mergeCell ref="C76:X76"/>
    <mergeCell ref="B77:F77"/>
    <mergeCell ref="G77:S77"/>
    <mergeCell ref="T77:U77"/>
    <mergeCell ref="V77:X77"/>
    <mergeCell ref="B75:X75"/>
    <mergeCell ref="B106:X106"/>
    <mergeCell ref="B83:X83"/>
    <mergeCell ref="B78:F78"/>
    <mergeCell ref="G78:S78"/>
    <mergeCell ref="T78:U78"/>
    <mergeCell ref="V78:X78"/>
    <mergeCell ref="B80:X80"/>
    <mergeCell ref="B82:X82"/>
    <mergeCell ref="B81:X81"/>
    <mergeCell ref="B79:X79"/>
    <mergeCell ref="C86:X86"/>
    <mergeCell ref="B85:X85"/>
    <mergeCell ref="E84:X84"/>
    <mergeCell ref="B87:X87"/>
    <mergeCell ref="B88:X88"/>
    <mergeCell ref="B90:X90"/>
    <mergeCell ref="V89:W89"/>
    <mergeCell ref="D89:E89"/>
    <mergeCell ref="I89:J89"/>
    <mergeCell ref="N89:O89"/>
    <mergeCell ref="R89:T89"/>
    <mergeCell ref="B89:C89"/>
    <mergeCell ref="F89:H89"/>
    <mergeCell ref="K89:M89"/>
    <mergeCell ref="S101:X101"/>
    <mergeCell ref="B119:X119"/>
    <mergeCell ref="B120:X120"/>
    <mergeCell ref="B121:X121"/>
    <mergeCell ref="B5:X5"/>
    <mergeCell ref="B8:D8"/>
    <mergeCell ref="B7:D7"/>
    <mergeCell ref="Q8:U8"/>
    <mergeCell ref="O7:R7"/>
    <mergeCell ref="E7:M7"/>
    <mergeCell ref="B113:X113"/>
    <mergeCell ref="B114:X114"/>
    <mergeCell ref="B115:X115"/>
    <mergeCell ref="B116:X116"/>
    <mergeCell ref="B117:X117"/>
    <mergeCell ref="B118:X118"/>
    <mergeCell ref="B105:F105"/>
    <mergeCell ref="G105:T105"/>
    <mergeCell ref="V105:X105"/>
    <mergeCell ref="B109:X109"/>
    <mergeCell ref="B111:X111"/>
    <mergeCell ref="B112:X112"/>
    <mergeCell ref="B108:X108"/>
    <mergeCell ref="B107:X107"/>
    <mergeCell ref="B132:Q132"/>
    <mergeCell ref="R132:X132"/>
    <mergeCell ref="B4:X4"/>
    <mergeCell ref="B3:X3"/>
    <mergeCell ref="B2:X2"/>
    <mergeCell ref="B9:X9"/>
    <mergeCell ref="B32:X32"/>
    <mergeCell ref="B68:X68"/>
    <mergeCell ref="P20:X20"/>
    <mergeCell ref="P19:X19"/>
    <mergeCell ref="C21:N21"/>
    <mergeCell ref="C20:N20"/>
    <mergeCell ref="B62:X63"/>
    <mergeCell ref="C64:X64"/>
    <mergeCell ref="C65:X65"/>
    <mergeCell ref="C66:X66"/>
    <mergeCell ref="C67:X67"/>
    <mergeCell ref="C47:X47"/>
    <mergeCell ref="B48:C48"/>
    <mergeCell ref="D48:X48"/>
    <mergeCell ref="C49:X49"/>
    <mergeCell ref="B50:C50"/>
    <mergeCell ref="D50:X50"/>
    <mergeCell ref="B44:O44"/>
    <mergeCell ref="B131:X131"/>
    <mergeCell ref="B110:X110"/>
    <mergeCell ref="B123:X123"/>
    <mergeCell ref="B128:X128"/>
    <mergeCell ref="B127:X127"/>
    <mergeCell ref="B126:X126"/>
    <mergeCell ref="B125:X125"/>
    <mergeCell ref="B124:X124"/>
    <mergeCell ref="B122:X122"/>
    <mergeCell ref="B130:X130"/>
    <mergeCell ref="B129:X129"/>
  </mergeCells>
  <pageMargins left="0.5" right="0.5" top="0.75" bottom="0.75" header="0.3" footer="0.3"/>
  <pageSetup scale="95" fitToHeight="0" orientation="portrait" horizontalDpi="360" verticalDpi="360" r:id="rId1"/>
  <rowBreaks count="3" manualBreakCount="3">
    <brk id="32" max="16383" man="1"/>
    <brk id="68" max="16383" man="1"/>
    <brk id="10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96067F-3A08-42B7-9401-245483BAD983}">
          <x14:formula1>
            <xm:f>Lists!$L$1:$L$2</xm:f>
          </x14:formula1>
          <xm:sqref>P11 T11 B13:B16 P17 T17 B19:B22 O19:O21 B24:B28 B35 P34 T34 T36 N37 P36:P37 R37 P44 T44 B45 B47 B49 P52 T52 B53 B59 P59 P61 T61 B64:B67 P70 T70 B76 B86 B92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F56-4AEF-4B3F-A561-B2F32B608E9B}">
  <dimension ref="A1:AZ15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335" customFormat="1" ht="23.25" customHeight="1" x14ac:dyDescent="0.35">
      <c r="A1" s="334"/>
      <c r="B1" s="1363" t="s">
        <v>893</v>
      </c>
      <c r="C1" s="1363"/>
      <c r="D1" s="1363"/>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1363"/>
      <c r="AH1" s="1363"/>
      <c r="AI1" s="1363"/>
      <c r="AJ1" s="1363"/>
      <c r="AK1" s="1363"/>
      <c r="AL1" s="1363"/>
    </row>
    <row r="2" spans="1:39" s="152" customFormat="1" ht="21" customHeight="1" x14ac:dyDescent="0.35">
      <c r="A2" s="336"/>
      <c r="B2" s="1192" t="s">
        <v>894</v>
      </c>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2"/>
    </row>
    <row r="3" spans="1:39" ht="3.6" customHeight="1" thickBot="1" x14ac:dyDescent="0.3">
      <c r="B3" s="1364"/>
      <c r="C3" s="1364"/>
      <c r="D3" s="1364"/>
      <c r="E3" s="1364"/>
      <c r="F3" s="1364"/>
      <c r="G3" s="1364"/>
      <c r="H3" s="1364"/>
      <c r="I3" s="1364"/>
      <c r="J3" s="1364"/>
      <c r="K3" s="1364"/>
      <c r="L3" s="1364"/>
      <c r="M3" s="1364"/>
      <c r="N3" s="1364"/>
      <c r="O3" s="1364"/>
      <c r="P3" s="1364"/>
      <c r="Q3" s="1364"/>
      <c r="R3" s="1364"/>
      <c r="S3" s="1364"/>
      <c r="T3" s="1364"/>
      <c r="U3" s="1364"/>
      <c r="V3" s="1364"/>
      <c r="W3" s="1364"/>
      <c r="X3" s="1364"/>
      <c r="Y3" s="1364"/>
      <c r="Z3" s="1364"/>
      <c r="AA3" s="1364"/>
      <c r="AB3" s="1364"/>
      <c r="AC3" s="1364"/>
      <c r="AD3" s="1364"/>
      <c r="AE3" s="1364"/>
      <c r="AF3" s="1364"/>
      <c r="AG3" s="1364"/>
      <c r="AH3" s="1364"/>
      <c r="AI3" s="1364"/>
      <c r="AJ3" s="1364"/>
      <c r="AK3" s="1364"/>
      <c r="AL3" s="1364"/>
    </row>
    <row r="4" spans="1:39" s="338" customFormat="1" ht="21.6" customHeight="1" x14ac:dyDescent="0.25">
      <c r="A4" s="337"/>
      <c r="B4" s="574" t="s">
        <v>895</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6"/>
    </row>
    <row r="5" spans="1:39" ht="2.85" customHeight="1" x14ac:dyDescent="0.25">
      <c r="B5" s="1365"/>
      <c r="C5" s="1366"/>
      <c r="D5" s="1366"/>
      <c r="E5" s="1366"/>
      <c r="F5" s="1366"/>
      <c r="G5" s="1366"/>
      <c r="H5" s="1366"/>
      <c r="I5" s="1366"/>
      <c r="J5" s="1366"/>
      <c r="K5" s="1366"/>
      <c r="L5" s="1366"/>
      <c r="M5" s="1366"/>
      <c r="N5" s="1366"/>
      <c r="O5" s="1366"/>
      <c r="P5" s="1366"/>
      <c r="Q5" s="1366"/>
      <c r="R5" s="1366"/>
      <c r="S5" s="1366"/>
      <c r="T5" s="1366"/>
      <c r="U5" s="1366"/>
      <c r="V5" s="1366"/>
      <c r="W5" s="1366"/>
      <c r="X5" s="1366"/>
      <c r="Y5" s="1366"/>
      <c r="Z5" s="1366"/>
      <c r="AA5" s="1366"/>
      <c r="AB5" s="1366"/>
      <c r="AC5" s="1366"/>
      <c r="AD5" s="1366"/>
      <c r="AE5" s="1366"/>
      <c r="AF5" s="1366"/>
      <c r="AG5" s="1366"/>
      <c r="AH5" s="1366"/>
      <c r="AI5" s="1366"/>
      <c r="AJ5" s="1366"/>
      <c r="AK5" s="1366"/>
      <c r="AL5" s="1367"/>
    </row>
    <row r="6" spans="1:39" ht="12" customHeight="1" x14ac:dyDescent="0.25">
      <c r="B6" s="1358" t="s">
        <v>398</v>
      </c>
      <c r="C6" s="1359"/>
      <c r="D6" s="1359"/>
      <c r="E6" s="1359"/>
      <c r="F6" s="1368" t="str">
        <f>IF('Project Information'!M15="","",'Project Information'!M15)</f>
        <v/>
      </c>
      <c r="G6" s="1368"/>
      <c r="H6" s="1368"/>
      <c r="I6" s="1368"/>
      <c r="J6" s="1368"/>
      <c r="K6" s="1368"/>
      <c r="L6" s="1368"/>
      <c r="M6" s="1361" t="s">
        <v>984</v>
      </c>
      <c r="N6" s="1361"/>
      <c r="O6" s="1361"/>
      <c r="P6" s="1361"/>
      <c r="Q6" s="387"/>
      <c r="R6" s="1369" t="str">
        <f>IF('Project Information'!E6="","",'Project Information'!E6)</f>
        <v/>
      </c>
      <c r="S6" s="1369"/>
      <c r="T6" s="1369"/>
      <c r="U6" s="1369"/>
      <c r="V6" s="1369"/>
      <c r="W6" s="1369"/>
      <c r="X6" s="1369"/>
      <c r="Y6" s="1369"/>
      <c r="Z6" s="1369"/>
      <c r="AA6" s="1369"/>
      <c r="AB6" s="1369"/>
      <c r="AC6" s="1369"/>
      <c r="AD6" s="1369"/>
      <c r="AE6" s="1369"/>
      <c r="AF6" s="1369"/>
      <c r="AG6" s="1369"/>
      <c r="AH6" s="1369"/>
      <c r="AI6" s="1369"/>
      <c r="AJ6" s="1369"/>
      <c r="AK6" s="1369"/>
      <c r="AL6" s="346"/>
    </row>
    <row r="7" spans="1:39" ht="2.85" customHeight="1" x14ac:dyDescent="0.25">
      <c r="B7" s="1353"/>
      <c r="C7" s="1354"/>
      <c r="D7" s="1354"/>
      <c r="E7" s="1354"/>
      <c r="F7" s="1354"/>
      <c r="G7" s="1354"/>
      <c r="H7" s="1354"/>
      <c r="I7" s="1354"/>
      <c r="J7" s="1354"/>
      <c r="K7" s="1354"/>
      <c r="L7" s="1354"/>
      <c r="M7" s="1354"/>
      <c r="N7" s="1354"/>
      <c r="O7" s="1354"/>
      <c r="P7" s="1354"/>
      <c r="Q7" s="1354"/>
      <c r="R7" s="1354"/>
      <c r="S7" s="1354"/>
      <c r="T7" s="1354"/>
      <c r="U7" s="1354"/>
      <c r="V7" s="1354"/>
      <c r="W7" s="1354"/>
      <c r="X7" s="1354"/>
      <c r="Y7" s="1354"/>
      <c r="Z7" s="1354"/>
      <c r="AA7" s="1354"/>
      <c r="AB7" s="1354"/>
      <c r="AC7" s="1354"/>
      <c r="AD7" s="1354"/>
      <c r="AE7" s="1354"/>
      <c r="AF7" s="1354"/>
      <c r="AG7" s="1354"/>
      <c r="AH7" s="1354"/>
      <c r="AI7" s="1354"/>
      <c r="AJ7" s="1354"/>
      <c r="AK7" s="1354"/>
      <c r="AL7" s="1355"/>
    </row>
    <row r="8" spans="1:39" ht="2.85" customHeight="1" x14ac:dyDescent="0.25">
      <c r="B8" s="1356"/>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1"/>
      <c r="AK8" s="1281"/>
      <c r="AL8" s="1357"/>
    </row>
    <row r="9" spans="1:39" ht="12" customHeight="1" x14ac:dyDescent="0.25">
      <c r="B9" s="1358" t="s">
        <v>985</v>
      </c>
      <c r="C9" s="1359"/>
      <c r="D9" s="1359"/>
      <c r="E9" s="1359"/>
      <c r="F9" s="1359"/>
      <c r="G9" s="1359"/>
      <c r="H9" s="1359"/>
      <c r="I9" s="1360"/>
      <c r="J9" s="1360"/>
      <c r="K9" s="1360"/>
      <c r="L9" s="1360"/>
      <c r="M9" s="1360"/>
      <c r="N9" s="1360"/>
      <c r="O9" s="1360"/>
      <c r="P9" s="1360"/>
      <c r="Q9" s="1360"/>
      <c r="R9" s="1361" t="s">
        <v>986</v>
      </c>
      <c r="S9" s="1361"/>
      <c r="T9" s="1361"/>
      <c r="U9" s="1361"/>
      <c r="V9" s="1361"/>
      <c r="W9" s="1362"/>
      <c r="X9" s="1362"/>
      <c r="Y9" s="1362"/>
      <c r="Z9" s="1362"/>
      <c r="AA9" s="1362"/>
      <c r="AB9" s="1362"/>
      <c r="AC9" s="1362"/>
      <c r="AD9" s="1362"/>
      <c r="AE9" s="1362"/>
      <c r="AF9" s="1362"/>
      <c r="AG9" s="1362"/>
      <c r="AH9" s="1362"/>
      <c r="AI9" s="1362"/>
      <c r="AJ9" s="1362"/>
      <c r="AK9" s="1362"/>
      <c r="AL9" s="346"/>
    </row>
    <row r="10" spans="1:39" ht="3" customHeight="1" x14ac:dyDescent="0.25">
      <c r="B10" s="1353"/>
      <c r="C10" s="1354"/>
      <c r="D10" s="1354"/>
      <c r="E10" s="1354"/>
      <c r="F10" s="1354"/>
      <c r="G10" s="1354"/>
      <c r="H10" s="1354"/>
      <c r="I10" s="1354"/>
      <c r="J10" s="1354"/>
      <c r="K10" s="1354"/>
      <c r="L10" s="1354"/>
      <c r="M10" s="1354"/>
      <c r="N10" s="1354"/>
      <c r="O10" s="1354"/>
      <c r="P10" s="1354"/>
      <c r="Q10" s="1354"/>
      <c r="R10" s="1354"/>
      <c r="S10" s="1354"/>
      <c r="T10" s="1354"/>
      <c r="U10" s="1354"/>
      <c r="V10" s="1354"/>
      <c r="W10" s="1354"/>
      <c r="X10" s="1354"/>
      <c r="Y10" s="1354"/>
      <c r="Z10" s="1354"/>
      <c r="AA10" s="1354"/>
      <c r="AB10" s="1354"/>
      <c r="AC10" s="1354"/>
      <c r="AD10" s="1354"/>
      <c r="AE10" s="1354"/>
      <c r="AF10" s="1354"/>
      <c r="AG10" s="1354"/>
      <c r="AH10" s="1354"/>
      <c r="AI10" s="1354"/>
      <c r="AJ10" s="1354"/>
      <c r="AK10" s="1354"/>
      <c r="AL10" s="1355"/>
    </row>
    <row r="11" spans="1:39" ht="3" customHeight="1" x14ac:dyDescent="0.25">
      <c r="B11" s="1356"/>
      <c r="C11" s="1281"/>
      <c r="D11" s="1281"/>
      <c r="E11" s="1281"/>
      <c r="F11" s="1281"/>
      <c r="G11" s="1281"/>
      <c r="H11" s="1281"/>
      <c r="I11" s="1281"/>
      <c r="J11" s="1281"/>
      <c r="K11" s="1281"/>
      <c r="L11" s="1281"/>
      <c r="M11" s="1281"/>
      <c r="N11" s="1281"/>
      <c r="O11" s="1281"/>
      <c r="P11" s="1281"/>
      <c r="Q11" s="1281"/>
      <c r="R11" s="1281"/>
      <c r="S11" s="1281"/>
      <c r="T11" s="1281"/>
      <c r="U11" s="1281"/>
      <c r="V11" s="1281"/>
      <c r="W11" s="1281"/>
      <c r="X11" s="1281"/>
      <c r="Y11" s="1281"/>
      <c r="Z11" s="1281"/>
      <c r="AA11" s="1281"/>
      <c r="AB11" s="1281"/>
      <c r="AC11" s="1281"/>
      <c r="AD11" s="1281"/>
      <c r="AE11" s="1281"/>
      <c r="AF11" s="1281"/>
      <c r="AG11" s="1281"/>
      <c r="AH11" s="1281"/>
      <c r="AI11" s="1281"/>
      <c r="AJ11" s="1281"/>
      <c r="AK11" s="1281"/>
      <c r="AL11" s="1357"/>
    </row>
    <row r="12" spans="1:39" ht="12" customHeight="1" x14ac:dyDescent="0.25">
      <c r="B12" s="1358" t="s">
        <v>987</v>
      </c>
      <c r="C12" s="1359"/>
      <c r="D12" s="1359"/>
      <c r="E12" s="1359"/>
      <c r="F12" s="1359"/>
      <c r="G12" s="1359"/>
      <c r="H12" s="1359"/>
      <c r="I12" s="1359"/>
      <c r="J12" s="1359"/>
      <c r="K12" s="1359"/>
      <c r="L12" s="1551"/>
      <c r="M12" s="1551"/>
      <c r="N12" s="1551"/>
      <c r="O12" s="1361" t="s">
        <v>197</v>
      </c>
      <c r="P12" s="1361"/>
      <c r="Q12" s="1369" t="str">
        <f>IF('Project Information'!AI9="","",'Project Information'!AI9)</f>
        <v/>
      </c>
      <c r="R12" s="1369"/>
      <c r="S12" s="1361" t="s">
        <v>990</v>
      </c>
      <c r="T12" s="1361"/>
      <c r="U12" s="1361"/>
      <c r="V12" s="1361"/>
      <c r="W12" s="1361"/>
      <c r="X12" s="1361"/>
      <c r="Y12" s="1360"/>
      <c r="Z12" s="1360"/>
      <c r="AA12" s="1361" t="s">
        <v>988</v>
      </c>
      <c r="AB12" s="1361"/>
      <c r="AC12" s="1361"/>
      <c r="AD12" s="1361"/>
      <c r="AE12" s="1361"/>
      <c r="AF12" s="1361"/>
      <c r="AG12" s="1361"/>
      <c r="AH12" s="1361"/>
      <c r="AI12" s="1361"/>
      <c r="AJ12" s="1369" t="str">
        <f>IF('Work Scope'!Q91="","",'Work Scope'!Q91)</f>
        <v/>
      </c>
      <c r="AK12" s="1369"/>
      <c r="AL12" s="346"/>
      <c r="AM12" s="1"/>
    </row>
    <row r="13" spans="1:39" ht="3" customHeight="1" thickBot="1" x14ac:dyDescent="0.3">
      <c r="B13" s="1555"/>
      <c r="C13" s="1556"/>
      <c r="D13" s="1556"/>
      <c r="E13" s="1556"/>
      <c r="F13" s="1556"/>
      <c r="G13" s="1556"/>
      <c r="H13" s="1556"/>
      <c r="I13" s="1556"/>
      <c r="J13" s="1556"/>
      <c r="K13" s="1556"/>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c r="AH13" s="1556"/>
      <c r="AI13" s="1556"/>
      <c r="AJ13" s="1556"/>
      <c r="AK13" s="1556"/>
      <c r="AL13" s="1557"/>
      <c r="AM13" s="1"/>
    </row>
    <row r="14" spans="1:39" ht="3.6" customHeight="1" thickBot="1" x14ac:dyDescent="0.3">
      <c r="B14" s="1387"/>
      <c r="C14" s="1387"/>
      <c r="D14" s="1387"/>
      <c r="E14" s="1387"/>
      <c r="F14" s="1387"/>
      <c r="G14" s="1387"/>
      <c r="H14" s="1387"/>
      <c r="I14" s="1387"/>
      <c r="J14" s="1387"/>
      <c r="K14" s="1387"/>
      <c r="L14" s="1387"/>
      <c r="M14" s="1387"/>
      <c r="N14" s="1387"/>
      <c r="O14" s="1387"/>
      <c r="P14" s="1387"/>
      <c r="Q14" s="1387"/>
      <c r="R14" s="1387"/>
      <c r="S14" s="1387"/>
      <c r="T14" s="1387"/>
      <c r="U14" s="1387"/>
      <c r="V14" s="1387"/>
      <c r="W14" s="1387"/>
      <c r="X14" s="1387"/>
      <c r="Y14" s="1387"/>
      <c r="Z14" s="1387"/>
      <c r="AA14" s="1387"/>
      <c r="AB14" s="1387"/>
      <c r="AC14" s="1387"/>
      <c r="AD14" s="1387"/>
      <c r="AE14" s="1387"/>
      <c r="AF14" s="1387"/>
      <c r="AG14" s="1387"/>
      <c r="AH14" s="1387"/>
      <c r="AI14" s="1387"/>
      <c r="AJ14" s="1387"/>
      <c r="AK14" s="1387"/>
      <c r="AL14" s="1387"/>
    </row>
    <row r="15" spans="1:39" ht="3" customHeight="1" x14ac:dyDescent="0.25">
      <c r="B15" s="574"/>
      <c r="C15" s="575"/>
      <c r="D15" s="575"/>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6"/>
    </row>
    <row r="16" spans="1:39" ht="15.6" customHeight="1" x14ac:dyDescent="0.25">
      <c r="A16" s="337"/>
      <c r="B16" s="1370" t="s">
        <v>896</v>
      </c>
      <c r="C16" s="1371"/>
      <c r="D16" s="1371"/>
      <c r="E16" s="1371"/>
      <c r="F16" s="1371"/>
      <c r="G16" s="1371"/>
      <c r="H16" s="1371"/>
      <c r="I16" s="1371"/>
      <c r="J16" s="1371"/>
      <c r="K16" s="1371"/>
      <c r="L16" s="1371"/>
      <c r="M16" s="1371"/>
      <c r="N16" s="1371"/>
      <c r="O16" s="1371"/>
      <c r="P16" s="1371"/>
      <c r="Q16" s="1371"/>
      <c r="R16" s="1371"/>
      <c r="S16" s="1371"/>
      <c r="T16" s="1371"/>
      <c r="U16" s="1371"/>
      <c r="V16" s="1371"/>
      <c r="W16" s="1371"/>
      <c r="X16" s="1371"/>
      <c r="Y16" s="1371"/>
      <c r="Z16" s="1371"/>
      <c r="AA16" s="1371"/>
      <c r="AB16" s="1371"/>
      <c r="AC16" s="1372" t="s">
        <v>989</v>
      </c>
      <c r="AD16" s="1372"/>
      <c r="AE16" s="1372"/>
      <c r="AF16" s="1372"/>
      <c r="AG16" s="1372"/>
      <c r="AH16" s="1373"/>
      <c r="AI16" s="1373"/>
      <c r="AJ16" s="1373"/>
      <c r="AK16" s="1373"/>
      <c r="AL16" s="339"/>
    </row>
    <row r="17" spans="2:38" ht="3" customHeight="1" x14ac:dyDescent="0.25">
      <c r="B17" s="1552"/>
      <c r="C17" s="1464"/>
      <c r="D17" s="1464"/>
      <c r="E17" s="1464"/>
      <c r="F17" s="1464"/>
      <c r="G17" s="1464"/>
      <c r="H17" s="1464"/>
      <c r="I17" s="1464"/>
      <c r="J17" s="1464"/>
      <c r="K17" s="1464"/>
      <c r="L17" s="1464"/>
      <c r="M17" s="1464"/>
      <c r="N17" s="1464"/>
      <c r="O17" s="1464"/>
      <c r="P17" s="1464"/>
      <c r="Q17" s="1464"/>
      <c r="R17" s="1464"/>
      <c r="S17" s="1464"/>
      <c r="T17" s="1464"/>
      <c r="U17" s="1464"/>
      <c r="V17" s="1464"/>
      <c r="W17" s="1464"/>
      <c r="X17" s="1464"/>
      <c r="Y17" s="1464"/>
      <c r="Z17" s="1464"/>
      <c r="AA17" s="1464"/>
      <c r="AB17" s="1464"/>
      <c r="AC17" s="1464"/>
      <c r="AD17" s="1464"/>
      <c r="AE17" s="1464"/>
      <c r="AF17" s="1464"/>
      <c r="AG17" s="1464"/>
      <c r="AH17" s="1464"/>
      <c r="AI17" s="1464"/>
      <c r="AJ17" s="1464"/>
      <c r="AK17" s="1464"/>
      <c r="AL17" s="1553"/>
    </row>
    <row r="18" spans="2:38" ht="15" customHeight="1" x14ac:dyDescent="0.25">
      <c r="B18" s="1374" t="s">
        <v>897</v>
      </c>
      <c r="C18" s="1375"/>
      <c r="D18" s="1375"/>
      <c r="E18" s="1375"/>
      <c r="F18" s="1375"/>
      <c r="G18" s="1375"/>
      <c r="H18" s="1375"/>
      <c r="I18" s="1375"/>
      <c r="J18" s="1375"/>
      <c r="K18" s="1375"/>
      <c r="L18" s="1375"/>
      <c r="M18" s="1375"/>
      <c r="N18" s="1375"/>
      <c r="O18" s="1375"/>
      <c r="P18" s="1375"/>
      <c r="Q18" s="1375"/>
      <c r="R18" s="1375"/>
      <c r="S18" s="1375"/>
      <c r="T18" s="1375"/>
      <c r="U18" s="1375"/>
      <c r="V18" s="1375"/>
      <c r="W18" s="1375"/>
      <c r="X18" s="1375"/>
      <c r="Y18" s="1375"/>
      <c r="Z18" s="1375"/>
      <c r="AA18" s="1375"/>
      <c r="AB18" s="1375"/>
      <c r="AC18" s="1375"/>
      <c r="AD18" s="1375"/>
      <c r="AE18" s="1375"/>
      <c r="AF18" s="1375"/>
      <c r="AG18" s="1375"/>
      <c r="AH18" s="1375"/>
      <c r="AI18" s="1375"/>
      <c r="AJ18" s="1375"/>
      <c r="AK18" s="1375"/>
      <c r="AL18" s="1376"/>
    </row>
    <row r="19" spans="2:38" ht="3" customHeight="1" x14ac:dyDescent="0.25">
      <c r="B19" s="1365"/>
      <c r="C19" s="1366"/>
      <c r="D19" s="1366"/>
      <c r="E19" s="1366"/>
      <c r="F19" s="1366"/>
      <c r="G19" s="1366"/>
      <c r="H19" s="1366"/>
      <c r="I19" s="1366"/>
      <c r="J19" s="1366"/>
      <c r="K19" s="1366"/>
      <c r="L19" s="1366"/>
      <c r="M19" s="1366"/>
      <c r="N19" s="1366"/>
      <c r="O19" s="1366"/>
      <c r="P19" s="1366"/>
      <c r="Q19" s="1366"/>
      <c r="R19" s="1366"/>
      <c r="S19" s="1366"/>
      <c r="T19" s="1367"/>
      <c r="U19" s="1365"/>
      <c r="V19" s="1366"/>
      <c r="W19" s="1366"/>
      <c r="X19" s="1366"/>
      <c r="Y19" s="1366"/>
      <c r="Z19" s="1366"/>
      <c r="AA19" s="1366"/>
      <c r="AB19" s="1366"/>
      <c r="AC19" s="1366"/>
      <c r="AD19" s="1366"/>
      <c r="AE19" s="1366"/>
      <c r="AF19" s="1366"/>
      <c r="AG19" s="1366"/>
      <c r="AH19" s="1366"/>
      <c r="AI19" s="1366"/>
      <c r="AJ19" s="1366"/>
      <c r="AK19" s="1366"/>
      <c r="AL19" s="1367"/>
    </row>
    <row r="20" spans="2:38" ht="15" customHeight="1" x14ac:dyDescent="0.25">
      <c r="B20" s="1416" t="s">
        <v>898</v>
      </c>
      <c r="C20" s="1361"/>
      <c r="D20" s="1361"/>
      <c r="E20" s="1361"/>
      <c r="F20" s="1361"/>
      <c r="G20" s="1361"/>
      <c r="H20" s="1361"/>
      <c r="I20" s="1361"/>
      <c r="J20" s="1361"/>
      <c r="K20" s="1361"/>
      <c r="L20" s="1361"/>
      <c r="M20" s="1361"/>
      <c r="N20" s="1361"/>
      <c r="O20" s="1361"/>
      <c r="P20" s="1361"/>
      <c r="Q20" s="372"/>
      <c r="R20" s="1550"/>
      <c r="S20" s="1415"/>
      <c r="T20" s="346"/>
      <c r="U20" s="1369" t="s">
        <v>899</v>
      </c>
      <c r="V20" s="1369"/>
      <c r="W20" s="1369"/>
      <c r="X20" s="1369"/>
      <c r="Y20" s="1369"/>
      <c r="Z20" s="1369"/>
      <c r="AA20" s="1369"/>
      <c r="AB20" s="1369"/>
      <c r="AC20" s="1369"/>
      <c r="AD20" s="1369"/>
      <c r="AE20" s="1369"/>
      <c r="AF20" s="1369"/>
      <c r="AG20" s="1369"/>
      <c r="AH20" s="1369"/>
      <c r="AI20" s="1369"/>
      <c r="AJ20" s="1369"/>
      <c r="AK20" s="1369"/>
      <c r="AL20" s="1426"/>
    </row>
    <row r="21" spans="2:38" ht="3" customHeight="1" x14ac:dyDescent="0.25">
      <c r="B21" s="373"/>
      <c r="C21" s="331"/>
      <c r="D21" s="331"/>
      <c r="E21" s="331"/>
      <c r="F21" s="331"/>
      <c r="G21" s="331"/>
      <c r="H21" s="331"/>
      <c r="I21" s="331"/>
      <c r="J21" s="331"/>
      <c r="K21" s="331"/>
      <c r="L21" s="331"/>
      <c r="M21" s="331"/>
      <c r="N21" s="331"/>
      <c r="O21" s="1"/>
      <c r="P21" s="1"/>
      <c r="Q21" s="1"/>
      <c r="R21" s="1"/>
      <c r="S21" s="1"/>
      <c r="T21" s="346"/>
      <c r="U21" s="1"/>
      <c r="V21" s="1"/>
      <c r="W21" s="1"/>
      <c r="X21" s="1"/>
      <c r="Y21" s="1"/>
      <c r="Z21" s="1"/>
      <c r="AA21" s="1"/>
      <c r="AB21" s="1"/>
      <c r="AC21" s="1"/>
      <c r="AD21" s="1"/>
      <c r="AE21" s="1"/>
      <c r="AF21" s="1"/>
      <c r="AG21" s="1"/>
      <c r="AH21" s="1"/>
      <c r="AI21" s="1"/>
      <c r="AJ21" s="1"/>
      <c r="AK21" s="1"/>
      <c r="AL21" s="346"/>
    </row>
    <row r="22" spans="2:38" x14ac:dyDescent="0.25">
      <c r="B22" s="1416" t="s">
        <v>900</v>
      </c>
      <c r="C22" s="1361"/>
      <c r="D22" s="1361"/>
      <c r="E22" s="1361"/>
      <c r="F22" s="1361"/>
      <c r="G22" s="1361"/>
      <c r="H22" s="1554"/>
      <c r="I22" s="1554"/>
      <c r="J22" s="1361" t="s">
        <v>901</v>
      </c>
      <c r="K22" s="1361"/>
      <c r="L22" s="1361"/>
      <c r="M22" s="1361"/>
      <c r="N22" s="1361"/>
      <c r="O22" s="1361"/>
      <c r="P22" s="1361"/>
      <c r="Q22" s="1417"/>
      <c r="R22" s="1389"/>
      <c r="S22" s="1390"/>
      <c r="T22" s="346"/>
      <c r="U22" s="1416" t="s">
        <v>902</v>
      </c>
      <c r="V22" s="1361"/>
      <c r="W22" s="1361"/>
      <c r="X22" s="1361"/>
      <c r="Y22" s="1361"/>
      <c r="Z22" s="1361"/>
      <c r="AA22" s="1361"/>
      <c r="AB22" s="1361"/>
      <c r="AC22" s="1361"/>
      <c r="AD22" s="1361"/>
      <c r="AE22" s="1361"/>
      <c r="AF22" s="1361"/>
      <c r="AG22" s="1361"/>
      <c r="AH22" s="1361"/>
      <c r="AI22" s="1361"/>
      <c r="AJ22" s="1389"/>
      <c r="AK22" s="1390"/>
      <c r="AL22" s="374"/>
    </row>
    <row r="23" spans="2:38" ht="3" customHeight="1" x14ac:dyDescent="0.25">
      <c r="B23" s="375"/>
      <c r="C23" s="333"/>
      <c r="D23" s="333"/>
      <c r="E23" s="333"/>
      <c r="F23" s="333"/>
      <c r="G23" s="333"/>
      <c r="H23" s="333"/>
      <c r="I23" s="333"/>
      <c r="J23" s="1"/>
      <c r="K23" s="1"/>
      <c r="L23" s="1"/>
      <c r="M23" s="1"/>
      <c r="N23" s="1"/>
      <c r="O23" s="1"/>
      <c r="P23" s="1"/>
      <c r="Q23" s="1"/>
      <c r="R23" s="1"/>
      <c r="S23" s="1"/>
      <c r="T23" s="346"/>
      <c r="U23" s="1"/>
      <c r="V23" s="1"/>
      <c r="W23" s="1"/>
      <c r="X23" s="1"/>
      <c r="Y23" s="1"/>
      <c r="Z23" s="1"/>
      <c r="AA23" s="1"/>
      <c r="AB23" s="1"/>
      <c r="AC23" s="1"/>
      <c r="AD23" s="1"/>
      <c r="AE23" s="1"/>
      <c r="AF23" s="1"/>
      <c r="AG23" s="1"/>
      <c r="AH23" s="1"/>
      <c r="AI23" s="1"/>
      <c r="AJ23" s="1"/>
      <c r="AK23" s="1"/>
      <c r="AL23" s="346"/>
    </row>
    <row r="24" spans="2:38" x14ac:dyDescent="0.25">
      <c r="B24" s="1416" t="s">
        <v>903</v>
      </c>
      <c r="C24" s="1361"/>
      <c r="D24" s="1361"/>
      <c r="E24" s="1361"/>
      <c r="F24" s="1361"/>
      <c r="G24" s="1361"/>
      <c r="H24" s="1361"/>
      <c r="I24" s="1361"/>
      <c r="J24" s="1361"/>
      <c r="K24" s="1361"/>
      <c r="L24" s="1361"/>
      <c r="M24" s="1361"/>
      <c r="N24" s="1361"/>
      <c r="O24" s="1361"/>
      <c r="P24" s="1361"/>
      <c r="Q24" s="1"/>
      <c r="R24" s="1414"/>
      <c r="S24" s="1415"/>
      <c r="T24" s="346"/>
      <c r="U24" s="1361" t="s">
        <v>904</v>
      </c>
      <c r="V24" s="1361"/>
      <c r="W24" s="1361"/>
      <c r="X24" s="1361"/>
      <c r="Y24" s="1361"/>
      <c r="Z24" s="1414"/>
      <c r="AA24" s="1415"/>
      <c r="AB24" s="1491" t="s">
        <v>1006</v>
      </c>
      <c r="AC24" s="1387"/>
      <c r="AD24" s="1387"/>
      <c r="AE24" s="1387"/>
      <c r="AF24" s="1387"/>
      <c r="AG24" s="1387"/>
      <c r="AH24" s="1387"/>
      <c r="AI24" s="1387"/>
      <c r="AJ24" s="1414"/>
      <c r="AK24" s="1415"/>
      <c r="AL24" s="374"/>
    </row>
    <row r="25" spans="2:38" ht="3" customHeight="1" x14ac:dyDescent="0.25">
      <c r="B25" s="375"/>
      <c r="C25" s="333"/>
      <c r="D25" s="333"/>
      <c r="E25" s="333"/>
      <c r="F25" s="333"/>
      <c r="G25" s="333"/>
      <c r="H25" s="333"/>
      <c r="I25" s="333"/>
      <c r="J25" s="333"/>
      <c r="K25" s="333"/>
      <c r="L25" s="333"/>
      <c r="M25" s="333"/>
      <c r="N25" s="333"/>
      <c r="O25" s="333"/>
      <c r="P25" s="333"/>
      <c r="Q25" s="333"/>
      <c r="R25" s="333"/>
      <c r="S25" s="1"/>
      <c r="T25" s="346"/>
      <c r="U25" s="1"/>
      <c r="V25" s="1"/>
      <c r="W25" s="1"/>
      <c r="X25" s="1"/>
      <c r="Y25" s="1"/>
      <c r="Z25" s="331"/>
      <c r="AA25" s="331"/>
      <c r="AB25" s="1"/>
      <c r="AC25" s="1"/>
      <c r="AD25" s="1"/>
      <c r="AE25" s="1"/>
      <c r="AF25" s="1"/>
      <c r="AG25" s="1"/>
      <c r="AH25" s="1"/>
      <c r="AI25" s="1"/>
      <c r="AJ25" s="1"/>
      <c r="AK25" s="331"/>
      <c r="AL25" s="376"/>
    </row>
    <row r="26" spans="2:38" x14ac:dyDescent="0.25">
      <c r="B26" s="1416" t="s">
        <v>1007</v>
      </c>
      <c r="C26" s="1361"/>
      <c r="D26" s="1361"/>
      <c r="E26" s="1361"/>
      <c r="F26" s="1361"/>
      <c r="G26" s="1361"/>
      <c r="H26" s="1414"/>
      <c r="I26" s="1415"/>
      <c r="J26" s="1567" t="s">
        <v>905</v>
      </c>
      <c r="K26" s="1568"/>
      <c r="L26" s="1568"/>
      <c r="M26" s="1568"/>
      <c r="N26" s="1568"/>
      <c r="O26" s="1568"/>
      <c r="P26" s="1568"/>
      <c r="Q26" s="1568"/>
      <c r="R26" s="1414"/>
      <c r="S26" s="1415"/>
      <c r="T26" s="346"/>
      <c r="U26" s="1369" t="s">
        <v>906</v>
      </c>
      <c r="V26" s="1369"/>
      <c r="W26" s="1369"/>
      <c r="X26" s="1369"/>
      <c r="Y26" s="1369"/>
      <c r="Z26" s="1369"/>
      <c r="AA26" s="1369"/>
      <c r="AB26" s="1369"/>
      <c r="AC26" s="1369"/>
      <c r="AD26" s="1369"/>
      <c r="AE26" s="1369"/>
      <c r="AF26" s="1369"/>
      <c r="AG26" s="1369"/>
      <c r="AH26" s="1369"/>
      <c r="AI26" s="1369"/>
      <c r="AJ26" s="1369"/>
      <c r="AK26" s="1369"/>
      <c r="AL26" s="1426"/>
    </row>
    <row r="27" spans="2:38" ht="3" customHeight="1" x14ac:dyDescent="0.25">
      <c r="B27" s="377"/>
      <c r="C27" s="332"/>
      <c r="D27" s="332"/>
      <c r="E27" s="332"/>
      <c r="F27" s="332"/>
      <c r="G27" s="332"/>
      <c r="H27" s="331"/>
      <c r="I27" s="331"/>
      <c r="J27" s="1"/>
      <c r="K27" s="1"/>
      <c r="L27" s="1"/>
      <c r="M27" s="1"/>
      <c r="N27" s="1"/>
      <c r="O27" s="1"/>
      <c r="P27" s="1"/>
      <c r="Q27" s="1"/>
      <c r="R27" s="1"/>
      <c r="S27" s="1"/>
      <c r="T27" s="346"/>
      <c r="U27" s="378"/>
      <c r="V27" s="378"/>
      <c r="W27" s="378"/>
      <c r="X27" s="378"/>
      <c r="Y27" s="378"/>
      <c r="Z27" s="378"/>
      <c r="AA27" s="378"/>
      <c r="AB27" s="378"/>
      <c r="AC27" s="378"/>
      <c r="AD27" s="378"/>
      <c r="AE27" s="378"/>
      <c r="AF27" s="378"/>
      <c r="AG27" s="378"/>
      <c r="AH27" s="378"/>
      <c r="AI27" s="378"/>
      <c r="AJ27" s="378"/>
      <c r="AK27" s="378"/>
      <c r="AL27" s="379"/>
    </row>
    <row r="28" spans="2:38" x14ac:dyDescent="0.25">
      <c r="B28" s="1416" t="s">
        <v>978</v>
      </c>
      <c r="C28" s="1361"/>
      <c r="D28" s="1361"/>
      <c r="E28" s="1361"/>
      <c r="F28" s="1361"/>
      <c r="G28" s="1361"/>
      <c r="H28" s="1361"/>
      <c r="I28" s="1361"/>
      <c r="J28" s="1361"/>
      <c r="K28" s="1361"/>
      <c r="L28" s="1361"/>
      <c r="M28" s="1361"/>
      <c r="N28" s="1361"/>
      <c r="O28" s="1361"/>
      <c r="P28" s="1361"/>
      <c r="Q28" s="372"/>
      <c r="R28" s="1550"/>
      <c r="S28" s="1415"/>
      <c r="T28" s="346"/>
      <c r="U28" s="1361" t="s">
        <v>907</v>
      </c>
      <c r="V28" s="1361"/>
      <c r="W28" s="1361"/>
      <c r="X28" s="1361"/>
      <c r="Y28" s="1361"/>
      <c r="Z28" s="1361"/>
      <c r="AA28" s="1414"/>
      <c r="AB28" s="1415"/>
      <c r="AC28" s="1420" t="s">
        <v>908</v>
      </c>
      <c r="AD28" s="1361"/>
      <c r="AE28" s="1361"/>
      <c r="AF28" s="1361"/>
      <c r="AG28" s="1361"/>
      <c r="AH28" s="1361"/>
      <c r="AI28" s="1361"/>
      <c r="AJ28" s="1389"/>
      <c r="AK28" s="1390"/>
      <c r="AL28" s="374"/>
    </row>
    <row r="29" spans="2:38" ht="3" customHeight="1" x14ac:dyDescent="0.25">
      <c r="B29" s="375"/>
      <c r="C29" s="333"/>
      <c r="D29" s="333"/>
      <c r="E29" s="333"/>
      <c r="F29" s="333"/>
      <c r="G29" s="333"/>
      <c r="H29" s="333"/>
      <c r="I29" s="333"/>
      <c r="J29" s="333"/>
      <c r="K29" s="333"/>
      <c r="L29" s="333"/>
      <c r="M29" s="1"/>
      <c r="N29" s="1"/>
      <c r="O29" s="1"/>
      <c r="P29" s="1"/>
      <c r="Q29" s="1"/>
      <c r="R29" s="1"/>
      <c r="S29" s="1"/>
      <c r="T29" s="346"/>
      <c r="U29" s="332"/>
      <c r="V29" s="332"/>
      <c r="W29" s="332"/>
      <c r="X29" s="332"/>
      <c r="Y29" s="332"/>
      <c r="Z29" s="332"/>
      <c r="AA29" s="1"/>
      <c r="AB29" s="1"/>
      <c r="AC29" s="1"/>
      <c r="AD29" s="332"/>
      <c r="AE29" s="332"/>
      <c r="AF29" s="332"/>
      <c r="AG29" s="332"/>
      <c r="AH29" s="332"/>
      <c r="AI29" s="332"/>
      <c r="AJ29" s="332"/>
      <c r="AK29" s="1"/>
      <c r="AL29" s="346"/>
    </row>
    <row r="30" spans="2:38" x14ac:dyDescent="0.25">
      <c r="B30" s="1423" t="s">
        <v>992</v>
      </c>
      <c r="C30" s="1424"/>
      <c r="D30" s="1424"/>
      <c r="E30" s="1424"/>
      <c r="F30" s="1424"/>
      <c r="G30" s="1424"/>
      <c r="H30" s="1424"/>
      <c r="I30" s="1424"/>
      <c r="J30" s="1424"/>
      <c r="K30" s="1424"/>
      <c r="L30" s="1424"/>
      <c r="M30" s="1424"/>
      <c r="N30" s="1424"/>
      <c r="O30" s="1424"/>
      <c r="P30" s="1424"/>
      <c r="Q30" s="1"/>
      <c r="R30" s="1"/>
      <c r="S30" s="1"/>
      <c r="T30" s="346"/>
      <c r="U30" s="1361" t="s">
        <v>909</v>
      </c>
      <c r="V30" s="1361"/>
      <c r="W30" s="1361"/>
      <c r="X30" s="1361"/>
      <c r="Y30" s="1361"/>
      <c r="Z30" s="1361"/>
      <c r="AA30" s="1414"/>
      <c r="AB30" s="1415"/>
      <c r="AC30" s="1420" t="s">
        <v>910</v>
      </c>
      <c r="AD30" s="1361"/>
      <c r="AE30" s="1361"/>
      <c r="AF30" s="1361"/>
      <c r="AG30" s="1361"/>
      <c r="AH30" s="1361"/>
      <c r="AI30" s="1361"/>
      <c r="AJ30" s="1389"/>
      <c r="AK30" s="1390"/>
      <c r="AL30" s="374"/>
    </row>
    <row r="31" spans="2:38" ht="3" customHeight="1" x14ac:dyDescent="0.25">
      <c r="B31" s="1423"/>
      <c r="C31" s="1424"/>
      <c r="D31" s="1424"/>
      <c r="E31" s="1424"/>
      <c r="F31" s="1424"/>
      <c r="G31" s="1424"/>
      <c r="H31" s="1424"/>
      <c r="I31" s="1424"/>
      <c r="J31" s="1424"/>
      <c r="K31" s="1424"/>
      <c r="L31" s="1424"/>
      <c r="M31" s="1424"/>
      <c r="N31" s="1424"/>
      <c r="O31" s="1424"/>
      <c r="P31" s="1424"/>
      <c r="Q31" s="1"/>
      <c r="R31" s="1"/>
      <c r="S31" s="1"/>
      <c r="T31" s="346"/>
      <c r="U31" s="1"/>
      <c r="V31" s="1"/>
      <c r="W31" s="332"/>
      <c r="X31" s="332"/>
      <c r="Y31" s="332"/>
      <c r="Z31" s="332"/>
      <c r="AA31" s="1"/>
      <c r="AB31" s="1"/>
      <c r="AC31" s="1"/>
      <c r="AD31" s="1"/>
      <c r="AE31" s="1"/>
      <c r="AF31" s="332"/>
      <c r="AG31" s="332"/>
      <c r="AH31" s="332"/>
      <c r="AI31" s="332"/>
      <c r="AJ31" s="332"/>
      <c r="AK31" s="1"/>
      <c r="AL31" s="346"/>
    </row>
    <row r="32" spans="2:38" x14ac:dyDescent="0.25">
      <c r="B32" s="1423"/>
      <c r="C32" s="1424"/>
      <c r="D32" s="1424"/>
      <c r="E32" s="1424"/>
      <c r="F32" s="1424"/>
      <c r="G32" s="1424"/>
      <c r="H32" s="1424"/>
      <c r="I32" s="1424"/>
      <c r="J32" s="1424"/>
      <c r="K32" s="1424"/>
      <c r="L32" s="1424"/>
      <c r="M32" s="1424"/>
      <c r="N32" s="1424"/>
      <c r="O32" s="1424"/>
      <c r="P32" s="1424"/>
      <c r="Q32" s="372"/>
      <c r="R32" s="1550"/>
      <c r="S32" s="1415"/>
      <c r="T32" s="346"/>
      <c r="U32" s="1386" t="s">
        <v>911</v>
      </c>
      <c r="V32" s="1387"/>
      <c r="W32" s="1387"/>
      <c r="X32" s="1387"/>
      <c r="Y32" s="1387"/>
      <c r="Z32" s="1387"/>
      <c r="AA32" s="1387"/>
      <c r="AB32" s="1387"/>
      <c r="AC32" s="1388" t="s">
        <v>912</v>
      </c>
      <c r="AD32" s="1388"/>
      <c r="AE32" s="1388"/>
      <c r="AF32" s="1388"/>
      <c r="AG32" s="1361" t="s">
        <v>913</v>
      </c>
      <c r="AH32" s="1361"/>
      <c r="AI32" s="1361"/>
      <c r="AJ32" s="1389"/>
      <c r="AK32" s="1390"/>
      <c r="AL32" s="374"/>
    </row>
    <row r="33" spans="2:52" ht="3" customHeight="1" x14ac:dyDescent="0.25">
      <c r="B33" s="342"/>
      <c r="T33" s="380"/>
      <c r="AL33" s="343"/>
    </row>
    <row r="34" spans="2:52" ht="10.9" customHeight="1" x14ac:dyDescent="0.25">
      <c r="B34" s="1394" t="s">
        <v>979</v>
      </c>
      <c r="C34" s="1395"/>
      <c r="D34" s="1395"/>
      <c r="E34" s="1395"/>
      <c r="F34" s="1395"/>
      <c r="G34" s="1395"/>
      <c r="H34" s="1395"/>
      <c r="I34" s="1395"/>
      <c r="J34" s="1395"/>
      <c r="K34" s="1395"/>
      <c r="L34" s="1395"/>
      <c r="M34" s="1395"/>
      <c r="N34" s="1395"/>
      <c r="O34" s="1395"/>
      <c r="P34" s="1395"/>
      <c r="Q34" s="1395"/>
      <c r="R34" s="1395"/>
      <c r="S34" s="1395"/>
      <c r="T34" s="1396"/>
      <c r="U34" s="1395" t="s">
        <v>981</v>
      </c>
      <c r="V34" s="1395"/>
      <c r="W34" s="1395"/>
      <c r="X34" s="1395"/>
      <c r="Y34" s="1395"/>
      <c r="Z34" s="1395"/>
      <c r="AA34" s="1395"/>
      <c r="AB34" s="1395"/>
      <c r="AC34" s="1395"/>
      <c r="AD34" s="1395"/>
      <c r="AE34" s="1395"/>
      <c r="AF34" s="1395"/>
      <c r="AG34" s="1395"/>
      <c r="AH34" s="1395"/>
      <c r="AI34" s="1395"/>
      <c r="AJ34" s="1395"/>
      <c r="AK34" s="1395"/>
      <c r="AL34" s="1396"/>
    </row>
    <row r="35" spans="2:52" ht="10.9" customHeight="1" x14ac:dyDescent="0.25">
      <c r="B35" s="1391" t="s">
        <v>980</v>
      </c>
      <c r="C35" s="1392"/>
      <c r="D35" s="1392"/>
      <c r="E35" s="1392"/>
      <c r="F35" s="1392"/>
      <c r="G35" s="1392"/>
      <c r="H35" s="1392"/>
      <c r="I35" s="1392"/>
      <c r="J35" s="1392"/>
      <c r="K35" s="1392"/>
      <c r="L35" s="1392"/>
      <c r="M35" s="1392"/>
      <c r="N35" s="1392"/>
      <c r="O35" s="1392"/>
      <c r="P35" s="1392"/>
      <c r="Q35" s="1392"/>
      <c r="R35" s="1392"/>
      <c r="S35" s="1392"/>
      <c r="T35" s="1393"/>
      <c r="U35" s="1391" t="s">
        <v>982</v>
      </c>
      <c r="V35" s="1392"/>
      <c r="W35" s="1392"/>
      <c r="X35" s="1392"/>
      <c r="Y35" s="1392"/>
      <c r="Z35" s="1392"/>
      <c r="AA35" s="1392"/>
      <c r="AB35" s="1392"/>
      <c r="AC35" s="1392"/>
      <c r="AD35" s="1392"/>
      <c r="AE35" s="1392"/>
      <c r="AF35" s="1392"/>
      <c r="AG35" s="1392"/>
      <c r="AH35" s="1392"/>
      <c r="AI35" s="1392"/>
      <c r="AJ35" s="1392"/>
      <c r="AK35" s="1392"/>
      <c r="AL35" s="1393"/>
    </row>
    <row r="36" spans="2:52" ht="10.9" customHeight="1" x14ac:dyDescent="0.25">
      <c r="B36" s="1397"/>
      <c r="C36" s="1398"/>
      <c r="D36" s="1398"/>
      <c r="E36" s="1398"/>
      <c r="F36" s="1398"/>
      <c r="G36" s="1398"/>
      <c r="H36" s="1398"/>
      <c r="I36" s="1398"/>
      <c r="J36" s="1398"/>
      <c r="K36" s="1398"/>
      <c r="L36" s="1398"/>
      <c r="M36" s="1398"/>
      <c r="N36" s="1398"/>
      <c r="O36" s="1398"/>
      <c r="P36" s="1398"/>
      <c r="Q36" s="1398"/>
      <c r="R36" s="1398"/>
      <c r="S36" s="1398"/>
      <c r="T36" s="1399"/>
      <c r="U36" s="1391" t="s">
        <v>983</v>
      </c>
      <c r="V36" s="1392"/>
      <c r="W36" s="1392"/>
      <c r="X36" s="1392"/>
      <c r="Y36" s="1392"/>
      <c r="Z36" s="1392"/>
      <c r="AA36" s="1392"/>
      <c r="AB36" s="1392"/>
      <c r="AC36" s="1392"/>
      <c r="AD36" s="1392"/>
      <c r="AE36" s="1392"/>
      <c r="AF36" s="1392"/>
      <c r="AG36" s="1392"/>
      <c r="AH36" s="1392"/>
      <c r="AI36" s="1392"/>
      <c r="AJ36" s="1392"/>
      <c r="AK36" s="1392"/>
      <c r="AL36" s="1393"/>
    </row>
    <row r="37" spans="2:52" ht="10.9" customHeight="1" x14ac:dyDescent="0.25">
      <c r="B37" s="1397"/>
      <c r="C37" s="1398"/>
      <c r="D37" s="1398"/>
      <c r="E37" s="1398"/>
      <c r="F37" s="1398"/>
      <c r="G37" s="1398"/>
      <c r="H37" s="1398"/>
      <c r="I37" s="1398"/>
      <c r="J37" s="1398"/>
      <c r="K37" s="1398"/>
      <c r="L37" s="1398"/>
      <c r="M37" s="1398"/>
      <c r="N37" s="1398"/>
      <c r="O37" s="1398"/>
      <c r="P37" s="1398"/>
      <c r="Q37" s="1398"/>
      <c r="R37" s="1398"/>
      <c r="S37" s="1398"/>
      <c r="T37" s="1399"/>
      <c r="U37" s="1397"/>
      <c r="V37" s="1398"/>
      <c r="W37" s="1398"/>
      <c r="X37" s="1398"/>
      <c r="Y37" s="1398"/>
      <c r="Z37" s="1398"/>
      <c r="AA37" s="1398"/>
      <c r="AB37" s="1398"/>
      <c r="AC37" s="1398"/>
      <c r="AD37" s="1398"/>
      <c r="AE37" s="1398"/>
      <c r="AF37" s="1398"/>
      <c r="AG37" s="1398"/>
      <c r="AH37" s="1398"/>
      <c r="AI37" s="1398"/>
      <c r="AJ37" s="1398"/>
      <c r="AK37" s="1398"/>
      <c r="AL37" s="1399"/>
    </row>
    <row r="38" spans="2:52" ht="10.9" customHeight="1" x14ac:dyDescent="0.25">
      <c r="B38" s="1397"/>
      <c r="C38" s="1398"/>
      <c r="D38" s="1398"/>
      <c r="E38" s="1398"/>
      <c r="F38" s="1398"/>
      <c r="G38" s="1398"/>
      <c r="H38" s="1398"/>
      <c r="I38" s="1398"/>
      <c r="J38" s="1398"/>
      <c r="K38" s="1398"/>
      <c r="L38" s="1398"/>
      <c r="M38" s="1398"/>
      <c r="N38" s="1398"/>
      <c r="O38" s="1398"/>
      <c r="P38" s="1398"/>
      <c r="Q38" s="1398"/>
      <c r="R38" s="1398"/>
      <c r="S38" s="1398"/>
      <c r="T38" s="1399"/>
      <c r="U38" s="1397"/>
      <c r="V38" s="1398"/>
      <c r="W38" s="1398"/>
      <c r="X38" s="1398"/>
      <c r="Y38" s="1398"/>
      <c r="Z38" s="1398"/>
      <c r="AA38" s="1398"/>
      <c r="AB38" s="1398"/>
      <c r="AC38" s="1398"/>
      <c r="AD38" s="1398"/>
      <c r="AE38" s="1398"/>
      <c r="AF38" s="1398"/>
      <c r="AG38" s="1398"/>
      <c r="AH38" s="1398"/>
      <c r="AI38" s="1398"/>
      <c r="AJ38" s="1398"/>
      <c r="AK38" s="1398"/>
      <c r="AL38" s="1399"/>
    </row>
    <row r="39" spans="2:52" ht="10.9" customHeight="1" x14ac:dyDescent="0.25">
      <c r="B39" s="1397"/>
      <c r="C39" s="1398"/>
      <c r="D39" s="1398"/>
      <c r="E39" s="1398"/>
      <c r="F39" s="1398"/>
      <c r="G39" s="1398"/>
      <c r="H39" s="1398"/>
      <c r="I39" s="1398"/>
      <c r="J39" s="1398"/>
      <c r="K39" s="1398"/>
      <c r="L39" s="1398"/>
      <c r="M39" s="1398"/>
      <c r="N39" s="1398"/>
      <c r="O39" s="1398"/>
      <c r="P39" s="1398"/>
      <c r="Q39" s="1398"/>
      <c r="R39" s="1398"/>
      <c r="S39" s="1398"/>
      <c r="T39" s="1399"/>
      <c r="U39" s="1397"/>
      <c r="V39" s="1398"/>
      <c r="W39" s="1398"/>
      <c r="X39" s="1398"/>
      <c r="Y39" s="1398"/>
      <c r="Z39" s="1398"/>
      <c r="AA39" s="1398"/>
      <c r="AB39" s="1398"/>
      <c r="AC39" s="1398"/>
      <c r="AD39" s="1398"/>
      <c r="AE39" s="1398"/>
      <c r="AF39" s="1398"/>
      <c r="AG39" s="1398"/>
      <c r="AH39" s="1398"/>
      <c r="AI39" s="1398"/>
      <c r="AJ39" s="1398"/>
      <c r="AK39" s="1398"/>
      <c r="AL39" s="1399"/>
    </row>
    <row r="40" spans="2:52" ht="14.45" customHeight="1" x14ac:dyDescent="0.25">
      <c r="B40" s="1400"/>
      <c r="C40" s="1401"/>
      <c r="D40" s="1401"/>
      <c r="E40" s="1401"/>
      <c r="F40" s="1401"/>
      <c r="G40" s="1401"/>
      <c r="H40" s="1401"/>
      <c r="I40" s="1401"/>
      <c r="J40" s="1401"/>
      <c r="K40" s="1401"/>
      <c r="L40" s="1401"/>
      <c r="M40" s="1401"/>
      <c r="N40" s="1401"/>
      <c r="O40" s="1401"/>
      <c r="P40" s="1401"/>
      <c r="Q40" s="1401"/>
      <c r="R40" s="1401"/>
      <c r="S40" s="1401"/>
      <c r="T40" s="1402"/>
      <c r="U40" s="1400"/>
      <c r="V40" s="1401"/>
      <c r="W40" s="1401"/>
      <c r="X40" s="1401"/>
      <c r="Y40" s="1401"/>
      <c r="Z40" s="1401"/>
      <c r="AA40" s="1401"/>
      <c r="AB40" s="1401"/>
      <c r="AC40" s="1401"/>
      <c r="AD40" s="1401"/>
      <c r="AE40" s="1401"/>
      <c r="AF40" s="1401"/>
      <c r="AG40" s="1401"/>
      <c r="AH40" s="1401"/>
      <c r="AI40" s="1401"/>
      <c r="AJ40" s="1401"/>
      <c r="AK40" s="1401"/>
      <c r="AL40" s="1402"/>
    </row>
    <row r="41" spans="2:52" x14ac:dyDescent="0.25">
      <c r="B41" s="1374" t="s">
        <v>914</v>
      </c>
      <c r="C41" s="1375"/>
      <c r="D41" s="1375"/>
      <c r="E41" s="1375"/>
      <c r="F41" s="1375"/>
      <c r="G41" s="1375"/>
      <c r="H41" s="1375"/>
      <c r="I41" s="1375"/>
      <c r="J41" s="1375"/>
      <c r="K41" s="1375"/>
      <c r="L41" s="1375"/>
      <c r="M41" s="1375"/>
      <c r="N41" s="1375"/>
      <c r="O41" s="1375"/>
      <c r="P41" s="1375"/>
      <c r="Q41" s="1375"/>
      <c r="R41" s="1375"/>
      <c r="S41" s="1375"/>
      <c r="T41" s="1375"/>
      <c r="U41" s="1375"/>
      <c r="V41" s="1375"/>
      <c r="W41" s="1375"/>
      <c r="X41" s="1375"/>
      <c r="Y41" s="1375"/>
      <c r="Z41" s="1375"/>
      <c r="AA41" s="1375"/>
      <c r="AB41" s="1375"/>
      <c r="AC41" s="1375"/>
      <c r="AD41" s="1375"/>
      <c r="AE41" s="1375"/>
      <c r="AF41" s="1375"/>
      <c r="AG41" s="1375"/>
      <c r="AH41" s="1375"/>
      <c r="AI41" s="1375"/>
      <c r="AJ41" s="1375"/>
      <c r="AK41" s="1375"/>
      <c r="AL41" s="1376"/>
    </row>
    <row r="42" spans="2:52" x14ac:dyDescent="0.25">
      <c r="B42" s="1377" t="s">
        <v>822</v>
      </c>
      <c r="C42" s="1378"/>
      <c r="D42" s="1378"/>
      <c r="E42" s="1378"/>
      <c r="F42" s="1378"/>
      <c r="G42" s="1378"/>
      <c r="H42" s="1378"/>
      <c r="I42" s="1378"/>
      <c r="J42" s="1379"/>
      <c r="K42" s="1380" t="s">
        <v>823</v>
      </c>
      <c r="L42" s="1381"/>
      <c r="M42" s="1382"/>
      <c r="N42" s="1380" t="s">
        <v>915</v>
      </c>
      <c r="O42" s="1381"/>
      <c r="P42" s="1382"/>
      <c r="Q42" s="1380" t="s">
        <v>825</v>
      </c>
      <c r="R42" s="1381"/>
      <c r="S42" s="1382"/>
      <c r="T42" s="1383" t="s">
        <v>916</v>
      </c>
      <c r="U42" s="1384"/>
      <c r="V42" s="1385"/>
      <c r="W42" s="1380" t="s">
        <v>827</v>
      </c>
      <c r="X42" s="1381"/>
      <c r="Y42" s="1382"/>
      <c r="AA42" s="1359" t="s">
        <v>813</v>
      </c>
      <c r="AB42" s="1359"/>
      <c r="AC42" s="1359"/>
      <c r="AD42" s="1359"/>
      <c r="AE42" s="1359"/>
      <c r="AF42" s="1359"/>
      <c r="AG42" s="1359"/>
      <c r="AH42" s="1359"/>
      <c r="AI42" s="1359"/>
      <c r="AJ42" s="1407" t="str">
        <f>IF('Work Scope'!G11="","",'Work Scope'!G11)</f>
        <v/>
      </c>
      <c r="AK42" s="1408"/>
      <c r="AL42" s="346"/>
    </row>
    <row r="43" spans="2:52" x14ac:dyDescent="0.25">
      <c r="B43" s="342"/>
      <c r="C43" s="1403" t="s">
        <v>917</v>
      </c>
      <c r="D43" s="1403"/>
      <c r="E43" s="1403"/>
      <c r="F43" s="1403"/>
      <c r="G43" s="1403"/>
      <c r="H43" s="1403"/>
      <c r="I43" s="1403"/>
      <c r="J43" s="1403"/>
      <c r="K43" s="1404">
        <v>50</v>
      </c>
      <c r="L43" s="1404"/>
      <c r="M43" s="1404"/>
      <c r="N43" s="1405"/>
      <c r="O43" s="1405"/>
      <c r="P43" s="1405"/>
      <c r="Q43" s="1404" t="str">
        <f>IF(N43="","",(IF(N43&gt;K43,0,K43-N43)))</f>
        <v/>
      </c>
      <c r="R43" s="1404"/>
      <c r="S43" s="1404"/>
      <c r="T43" s="1406"/>
      <c r="U43" s="1406"/>
      <c r="V43" s="1406"/>
      <c r="W43" s="1404" t="str">
        <f>IFERROR(IF(T43="",Q43,(IF(T43="Y",IF((Q43-20)&gt;0, (Q43-20),0),Q43))),"")</f>
        <v/>
      </c>
      <c r="X43" s="1404"/>
      <c r="Y43" s="1404"/>
      <c r="Z43" s="1566"/>
      <c r="AA43" s="1366"/>
      <c r="AB43" s="1366"/>
      <c r="AC43" s="1366"/>
      <c r="AD43" s="1366"/>
      <c r="AE43" s="1366"/>
      <c r="AF43" s="1366"/>
      <c r="AG43" s="1366"/>
      <c r="AH43" s="1366"/>
      <c r="AI43" s="1366"/>
      <c r="AJ43" s="1366"/>
      <c r="AK43" s="1366"/>
      <c r="AL43" s="1367"/>
    </row>
    <row r="44" spans="2:52" x14ac:dyDescent="0.25">
      <c r="B44" s="342"/>
      <c r="C44" s="1403" t="s">
        <v>919</v>
      </c>
      <c r="D44" s="1403"/>
      <c r="E44" s="1403"/>
      <c r="F44" s="1403"/>
      <c r="G44" s="1403"/>
      <c r="H44" s="1403"/>
      <c r="I44" s="1403"/>
      <c r="J44" s="1403"/>
      <c r="K44" s="1404">
        <v>50</v>
      </c>
      <c r="L44" s="1404"/>
      <c r="M44" s="1404"/>
      <c r="N44" s="1405"/>
      <c r="O44" s="1405"/>
      <c r="P44" s="1405"/>
      <c r="Q44" s="1404" t="str">
        <f t="shared" ref="Q44:Q49" si="0">IF(N44="","",(IF(N44&gt;K44,0,K44-N44)))</f>
        <v/>
      </c>
      <c r="R44" s="1404"/>
      <c r="S44" s="1404"/>
      <c r="T44" s="1406"/>
      <c r="U44" s="1406"/>
      <c r="V44" s="1406"/>
      <c r="W44" s="1404" t="str">
        <f t="shared" ref="W44:W49" si="1">IFERROR(IF(T44="",Q44,(IF(T44="Y",IF((Q44-20)&gt;0, (Q44-20),0),Q44))),"")</f>
        <v/>
      </c>
      <c r="X44" s="1404"/>
      <c r="Y44" s="1404"/>
      <c r="AA44" s="1409" t="s">
        <v>918</v>
      </c>
      <c r="AB44" s="1410"/>
      <c r="AC44" s="1410"/>
      <c r="AD44" s="1410"/>
      <c r="AE44" s="1410"/>
      <c r="AF44" s="1410"/>
      <c r="AG44" s="1410"/>
      <c r="AH44" s="1410"/>
      <c r="AI44" s="1410"/>
      <c r="AJ44" s="1410"/>
      <c r="AK44" s="1411"/>
      <c r="AL44" s="343"/>
      <c r="AP44" s="151" t="s">
        <v>1436</v>
      </c>
      <c r="AQ44" s="1"/>
      <c r="AR44" s="1"/>
      <c r="AS44" s="1"/>
      <c r="AT44" s="1"/>
      <c r="AU44" s="1"/>
      <c r="AV44" s="1"/>
      <c r="AW44" s="1"/>
      <c r="AX44" s="1"/>
      <c r="AY44" s="1"/>
      <c r="AZ44" s="1"/>
    </row>
    <row r="45" spans="2:52" x14ac:dyDescent="0.25">
      <c r="B45" s="342"/>
      <c r="C45" s="1403" t="s">
        <v>921</v>
      </c>
      <c r="D45" s="1403"/>
      <c r="E45" s="1403"/>
      <c r="F45" s="1403"/>
      <c r="G45" s="1403"/>
      <c r="H45" s="1403"/>
      <c r="I45" s="1403"/>
      <c r="J45" s="1403"/>
      <c r="K45" s="1404">
        <v>50</v>
      </c>
      <c r="L45" s="1404"/>
      <c r="M45" s="1404"/>
      <c r="N45" s="1405"/>
      <c r="O45" s="1405"/>
      <c r="P45" s="1405"/>
      <c r="Q45" s="1404" t="str">
        <f t="shared" si="0"/>
        <v/>
      </c>
      <c r="R45" s="1404"/>
      <c r="S45" s="1404"/>
      <c r="T45" s="1406"/>
      <c r="U45" s="1406"/>
      <c r="V45" s="1406"/>
      <c r="W45" s="1404" t="str">
        <f t="shared" si="1"/>
        <v/>
      </c>
      <c r="X45" s="1404"/>
      <c r="Y45" s="1404"/>
      <c r="AA45" s="347"/>
      <c r="AB45" s="1412" t="s">
        <v>920</v>
      </c>
      <c r="AC45" s="1359"/>
      <c r="AD45" s="1359"/>
      <c r="AE45" s="1359"/>
      <c r="AF45" s="1359"/>
      <c r="AG45" s="1359"/>
      <c r="AH45" s="1359"/>
      <c r="AI45" s="1359"/>
      <c r="AJ45" s="1359"/>
      <c r="AK45" s="1413"/>
      <c r="AL45" s="343"/>
    </row>
    <row r="46" spans="2:52" x14ac:dyDescent="0.25">
      <c r="B46" s="342"/>
      <c r="C46" s="1403" t="s">
        <v>923</v>
      </c>
      <c r="D46" s="1403"/>
      <c r="E46" s="1403"/>
      <c r="F46" s="1403"/>
      <c r="G46" s="1403"/>
      <c r="H46" s="1403"/>
      <c r="I46" s="1403"/>
      <c r="J46" s="1403"/>
      <c r="K46" s="1404">
        <v>50</v>
      </c>
      <c r="L46" s="1404"/>
      <c r="M46" s="1404"/>
      <c r="N46" s="1405"/>
      <c r="O46" s="1405"/>
      <c r="P46" s="1405"/>
      <c r="Q46" s="1404" t="str">
        <f t="shared" si="0"/>
        <v/>
      </c>
      <c r="R46" s="1404"/>
      <c r="S46" s="1404"/>
      <c r="T46" s="1406"/>
      <c r="U46" s="1406"/>
      <c r="V46" s="1406"/>
      <c r="W46" s="1404" t="str">
        <f t="shared" si="1"/>
        <v/>
      </c>
      <c r="X46" s="1404"/>
      <c r="Y46" s="1404"/>
      <c r="AA46" s="347"/>
      <c r="AB46" s="1412" t="s">
        <v>922</v>
      </c>
      <c r="AC46" s="1359"/>
      <c r="AD46" s="1359"/>
      <c r="AE46" s="1359"/>
      <c r="AF46" s="1359"/>
      <c r="AG46" s="1359"/>
      <c r="AH46" s="1359"/>
      <c r="AI46" s="1359"/>
      <c r="AJ46" s="1359"/>
      <c r="AK46" s="1413"/>
      <c r="AL46" s="343"/>
      <c r="AR46" s="193"/>
    </row>
    <row r="47" spans="2:52" x14ac:dyDescent="0.25">
      <c r="B47" s="342"/>
      <c r="C47" s="1403" t="s">
        <v>925</v>
      </c>
      <c r="D47" s="1403"/>
      <c r="E47" s="1403"/>
      <c r="F47" s="1403"/>
      <c r="G47" s="1403"/>
      <c r="H47" s="1403"/>
      <c r="I47" s="1403"/>
      <c r="J47" s="1403"/>
      <c r="K47" s="1404">
        <v>0</v>
      </c>
      <c r="L47" s="1404"/>
      <c r="M47" s="1404"/>
      <c r="N47" s="1405"/>
      <c r="O47" s="1405"/>
      <c r="P47" s="1405"/>
      <c r="Q47" s="1404">
        <v>0</v>
      </c>
      <c r="R47" s="1404"/>
      <c r="S47" s="1404"/>
      <c r="T47" s="1438" t="s">
        <v>407</v>
      </c>
      <c r="U47" s="1438"/>
      <c r="V47" s="1438"/>
      <c r="W47" s="1404">
        <v>0</v>
      </c>
      <c r="X47" s="1404"/>
      <c r="Y47" s="1404"/>
      <c r="AA47" s="347"/>
      <c r="AB47" s="1412" t="s">
        <v>924</v>
      </c>
      <c r="AC47" s="1359"/>
      <c r="AD47" s="1359"/>
      <c r="AE47" s="1359"/>
      <c r="AF47" s="1359"/>
      <c r="AG47" s="1359"/>
      <c r="AH47" s="1359"/>
      <c r="AI47" s="1359"/>
      <c r="AJ47" s="1359"/>
      <c r="AK47" s="1413"/>
      <c r="AL47" s="343"/>
      <c r="AR47" s="193"/>
    </row>
    <row r="48" spans="2:52" x14ac:dyDescent="0.25">
      <c r="B48" s="342"/>
      <c r="C48" s="1403" t="s">
        <v>927</v>
      </c>
      <c r="D48" s="1403"/>
      <c r="E48" s="1403"/>
      <c r="F48" s="1403"/>
      <c r="G48" s="1403"/>
      <c r="H48" s="1403"/>
      <c r="I48" s="1403"/>
      <c r="J48" s="1403"/>
      <c r="K48" s="1404">
        <v>100</v>
      </c>
      <c r="L48" s="1404"/>
      <c r="M48" s="1404"/>
      <c r="N48" s="1405">
        <v>0</v>
      </c>
      <c r="O48" s="1405"/>
      <c r="P48" s="1405"/>
      <c r="Q48" s="1404">
        <f t="shared" si="0"/>
        <v>100</v>
      </c>
      <c r="R48" s="1404"/>
      <c r="S48" s="1404"/>
      <c r="T48" s="1406"/>
      <c r="U48" s="1406"/>
      <c r="V48" s="1406"/>
      <c r="W48" s="1404">
        <f t="shared" si="1"/>
        <v>100</v>
      </c>
      <c r="X48" s="1404"/>
      <c r="Y48" s="1404"/>
      <c r="AA48" s="347"/>
      <c r="AB48" s="1412" t="s">
        <v>926</v>
      </c>
      <c r="AC48" s="1359"/>
      <c r="AD48" s="1359"/>
      <c r="AE48" s="1359"/>
      <c r="AF48" s="1359"/>
      <c r="AG48" s="1359"/>
      <c r="AH48" s="1359"/>
      <c r="AI48" s="1359"/>
      <c r="AJ48" s="1359"/>
      <c r="AK48" s="1413"/>
      <c r="AL48" s="343"/>
      <c r="AR48" s="193"/>
    </row>
    <row r="49" spans="2:44" ht="14.45" customHeight="1" x14ac:dyDescent="0.25">
      <c r="B49" s="342"/>
      <c r="C49" s="1403" t="s">
        <v>929</v>
      </c>
      <c r="D49" s="1403"/>
      <c r="E49" s="1403"/>
      <c r="F49" s="1403"/>
      <c r="G49" s="1403"/>
      <c r="H49" s="1403"/>
      <c r="I49" s="1403"/>
      <c r="J49" s="1403"/>
      <c r="K49" s="1404">
        <v>100</v>
      </c>
      <c r="L49" s="1404"/>
      <c r="M49" s="1404"/>
      <c r="N49" s="1405"/>
      <c r="O49" s="1405"/>
      <c r="P49" s="1405"/>
      <c r="Q49" s="1404" t="str">
        <f t="shared" si="0"/>
        <v/>
      </c>
      <c r="R49" s="1404"/>
      <c r="S49" s="1404"/>
      <c r="T49" s="1406"/>
      <c r="U49" s="1406"/>
      <c r="V49" s="1406"/>
      <c r="W49" s="1404" t="str">
        <f t="shared" si="1"/>
        <v/>
      </c>
      <c r="X49" s="1404"/>
      <c r="Y49" s="1404"/>
      <c r="AA49" s="347"/>
      <c r="AB49" s="1412" t="s">
        <v>928</v>
      </c>
      <c r="AC49" s="1359"/>
      <c r="AD49" s="1359"/>
      <c r="AE49" s="1359"/>
      <c r="AF49" s="1359"/>
      <c r="AG49" s="1359"/>
      <c r="AH49" s="1359"/>
      <c r="AI49" s="1359"/>
      <c r="AJ49" s="1359"/>
      <c r="AK49" s="1413"/>
      <c r="AL49" s="343"/>
      <c r="AR49" s="193"/>
    </row>
    <row r="50" spans="2:44" ht="14.45" customHeight="1" x14ac:dyDescent="0.25">
      <c r="B50" s="342"/>
      <c r="R50" s="1562" t="s">
        <v>930</v>
      </c>
      <c r="S50" s="1562"/>
      <c r="T50" s="1562"/>
      <c r="U50" s="1562"/>
      <c r="V50" s="1562"/>
      <c r="W50" s="1559">
        <f>IF(COUNT(W43:Y46)+COUNT(W48:Y49)=0,"",SUM(W43:Y49))</f>
        <v>100</v>
      </c>
      <c r="X50" s="1560"/>
      <c r="Y50" s="1561"/>
      <c r="AA50" s="347"/>
      <c r="AB50" s="1448" t="s">
        <v>614</v>
      </c>
      <c r="AC50" s="1449"/>
      <c r="AD50" s="1580"/>
      <c r="AE50" s="1580"/>
      <c r="AF50" s="1580"/>
      <c r="AG50" s="1580"/>
      <c r="AH50" s="1580"/>
      <c r="AI50" s="1580"/>
      <c r="AJ50" s="1580"/>
      <c r="AK50" s="1581"/>
      <c r="AL50" s="343"/>
      <c r="AR50" s="193"/>
    </row>
    <row r="51" spans="2:44" ht="3" customHeight="1" x14ac:dyDescent="0.25">
      <c r="B51" s="1386"/>
      <c r="C51" s="1387"/>
      <c r="D51" s="1387"/>
      <c r="E51" s="1387"/>
      <c r="F51" s="1387"/>
      <c r="G51" s="1387"/>
      <c r="H51" s="1387"/>
      <c r="I51" s="1387"/>
      <c r="J51" s="1387"/>
      <c r="K51" s="1387"/>
      <c r="L51" s="1387"/>
      <c r="M51" s="1387"/>
      <c r="N51" s="1387"/>
      <c r="O51" s="1387"/>
      <c r="P51" s="1387"/>
      <c r="Q51" s="1387"/>
      <c r="R51" s="1387"/>
      <c r="S51" s="1387"/>
      <c r="T51" s="1387"/>
      <c r="U51" s="1387"/>
      <c r="V51" s="1387"/>
      <c r="W51" s="1387"/>
      <c r="X51" s="1387"/>
      <c r="Y51" s="1387"/>
      <c r="Z51" s="1387"/>
      <c r="AA51" s="1387"/>
      <c r="AB51" s="1387"/>
      <c r="AC51" s="1387"/>
      <c r="AD51" s="1387"/>
      <c r="AE51" s="1387"/>
      <c r="AF51" s="1387"/>
      <c r="AG51" s="1387"/>
      <c r="AH51" s="1387"/>
      <c r="AI51" s="1387"/>
      <c r="AJ51" s="1387"/>
      <c r="AK51" s="1387"/>
      <c r="AL51" s="1558"/>
      <c r="AR51" s="193"/>
    </row>
    <row r="52" spans="2:44" ht="12" customHeight="1" x14ac:dyDescent="0.25">
      <c r="B52" s="1416" t="s">
        <v>838</v>
      </c>
      <c r="C52" s="1361"/>
      <c r="D52" s="1361"/>
      <c r="E52" s="1361"/>
      <c r="F52" s="1361"/>
      <c r="G52" s="1361"/>
      <c r="H52" s="1361"/>
      <c r="I52" s="1361"/>
      <c r="J52" s="1361"/>
      <c r="K52" s="1563"/>
      <c r="L52" s="1564"/>
      <c r="N52" s="1361" t="s">
        <v>931</v>
      </c>
      <c r="O52" s="1361"/>
      <c r="P52" s="1361"/>
      <c r="Q52" s="1361"/>
      <c r="R52" s="1442" t="str">
        <f>IFERROR(VLOOKUP(Q12,Lists!T14:U18,2,FALSE),"")</f>
        <v/>
      </c>
      <c r="S52" s="1443"/>
      <c r="T52" s="305"/>
      <c r="W52" s="6"/>
      <c r="X52" s="6"/>
      <c r="Y52" s="6"/>
      <c r="AL52" s="343"/>
      <c r="AR52" s="193"/>
    </row>
    <row r="53" spans="2:44" ht="3" customHeight="1" x14ac:dyDescent="0.25">
      <c r="B53" s="1386"/>
      <c r="C53" s="1387"/>
      <c r="D53" s="1387"/>
      <c r="E53" s="1387"/>
      <c r="F53" s="1387"/>
      <c r="G53" s="1387"/>
      <c r="H53" s="1387"/>
      <c r="I53" s="1387"/>
      <c r="J53" s="1387"/>
      <c r="K53" s="1387"/>
      <c r="L53" s="1387"/>
      <c r="M53" s="1387"/>
      <c r="N53" s="1387"/>
      <c r="O53" s="1387"/>
      <c r="P53" s="1387"/>
      <c r="Q53" s="1387"/>
      <c r="R53" s="1387"/>
      <c r="S53" s="1387"/>
      <c r="T53" s="1387"/>
      <c r="U53" s="1387"/>
      <c r="V53" s="1387"/>
      <c r="W53" s="1387"/>
      <c r="X53" s="1387"/>
      <c r="Y53" s="1387"/>
      <c r="Z53" s="1387"/>
      <c r="AA53" s="1387"/>
      <c r="AB53" s="1387"/>
      <c r="AC53" s="1387"/>
      <c r="AD53" s="1387"/>
      <c r="AE53" s="1387"/>
      <c r="AF53" s="1387"/>
      <c r="AG53" s="1387"/>
      <c r="AH53" s="1387"/>
      <c r="AI53" s="1387"/>
      <c r="AJ53" s="1387"/>
      <c r="AK53" s="1387"/>
      <c r="AL53" s="1558"/>
    </row>
    <row r="54" spans="2:44" ht="12" customHeight="1" x14ac:dyDescent="0.25">
      <c r="B54" s="1416" t="s">
        <v>932</v>
      </c>
      <c r="C54" s="1361"/>
      <c r="D54" s="1361"/>
      <c r="E54" s="1361"/>
      <c r="F54" s="1361"/>
      <c r="G54" s="1361"/>
      <c r="H54" s="1361"/>
      <c r="I54" s="1361"/>
      <c r="J54" s="1361"/>
      <c r="K54" s="1361"/>
      <c r="L54" s="1361"/>
      <c r="M54" s="1361"/>
      <c r="N54" s="1361"/>
      <c r="O54" s="1361"/>
      <c r="P54" s="1361"/>
      <c r="Q54" s="1361"/>
      <c r="R54" s="1361"/>
      <c r="S54" s="1361"/>
      <c r="T54" s="1361"/>
      <c r="U54" s="1361"/>
      <c r="V54" s="1361"/>
      <c r="W54" s="1417"/>
      <c r="X54" s="1418" t="str">
        <f>IF($L$12="","",IF($Y$12="","",(0.03*$L$12+(7.5*($Y$12+1)))))</f>
        <v/>
      </c>
      <c r="Y54" s="1419"/>
      <c r="AL54" s="343"/>
      <c r="AR54" s="193"/>
    </row>
    <row r="55" spans="2:44" ht="3" customHeight="1" x14ac:dyDescent="0.25">
      <c r="B55" s="1365"/>
      <c r="C55" s="1366"/>
      <c r="D55" s="1366"/>
      <c r="E55" s="1366"/>
      <c r="F55" s="1366"/>
      <c r="G55" s="1366"/>
      <c r="H55" s="1366"/>
      <c r="I55" s="1366"/>
      <c r="J55" s="1366"/>
      <c r="K55" s="1366"/>
      <c r="L55" s="1366"/>
      <c r="M55" s="1366"/>
      <c r="N55" s="1366"/>
      <c r="O55" s="1366"/>
      <c r="P55" s="1366"/>
      <c r="Q55" s="1366"/>
      <c r="R55" s="1366"/>
      <c r="S55" s="1366"/>
      <c r="T55" s="1366"/>
      <c r="U55" s="1366"/>
      <c r="V55" s="1366"/>
      <c r="W55" s="1366"/>
      <c r="X55" s="1366"/>
      <c r="Y55" s="1366"/>
      <c r="Z55" s="1366"/>
      <c r="AA55" s="1366"/>
      <c r="AB55" s="1366"/>
      <c r="AC55" s="1366"/>
      <c r="AD55" s="1366"/>
      <c r="AE55" s="1366"/>
      <c r="AF55" s="1366"/>
      <c r="AG55" s="1366"/>
      <c r="AH55" s="1366"/>
      <c r="AI55" s="1366"/>
      <c r="AJ55" s="1366"/>
      <c r="AK55" s="1366"/>
      <c r="AL55" s="1367"/>
    </row>
    <row r="56" spans="2:44" ht="12" customHeight="1" x14ac:dyDescent="0.25">
      <c r="B56" s="1416" t="s">
        <v>841</v>
      </c>
      <c r="C56" s="1361"/>
      <c r="D56" s="1361"/>
      <c r="E56" s="1361"/>
      <c r="F56" s="1361"/>
      <c r="G56" s="1361"/>
      <c r="H56" s="1361"/>
      <c r="I56" s="1361"/>
      <c r="J56" s="1361"/>
      <c r="K56" s="1361"/>
      <c r="L56" s="1361"/>
      <c r="M56" s="1361"/>
      <c r="N56" s="1361"/>
      <c r="O56" s="1361"/>
      <c r="P56" s="1361"/>
      <c r="Q56" s="1361"/>
      <c r="R56" s="1361"/>
      <c r="S56" s="1361"/>
      <c r="T56" s="1361"/>
      <c r="U56" s="1361"/>
      <c r="V56" s="1361"/>
      <c r="W56" s="1417"/>
      <c r="X56" s="1418">
        <f>IF(W50="","",IF(W50&gt;0,W50/4,""))</f>
        <v>25</v>
      </c>
      <c r="Y56" s="1419"/>
      <c r="AL56" s="343"/>
    </row>
    <row r="57" spans="2:44" ht="3" customHeight="1" x14ac:dyDescent="0.25">
      <c r="B57" s="1365"/>
      <c r="C57" s="1366"/>
      <c r="D57" s="1366"/>
      <c r="E57" s="1366"/>
      <c r="F57" s="1366"/>
      <c r="G57" s="1366"/>
      <c r="H57" s="1366"/>
      <c r="I57" s="1366"/>
      <c r="J57" s="1366"/>
      <c r="K57" s="1366"/>
      <c r="L57" s="1366"/>
      <c r="M57" s="1366"/>
      <c r="N57" s="1366"/>
      <c r="O57" s="1366"/>
      <c r="P57" s="1366"/>
      <c r="Q57" s="1366"/>
      <c r="R57" s="1366"/>
      <c r="S57" s="1366"/>
      <c r="T57" s="1366"/>
      <c r="U57" s="1366"/>
      <c r="V57" s="1366"/>
      <c r="W57" s="1366"/>
      <c r="X57" s="1366"/>
      <c r="Y57" s="1366"/>
      <c r="Z57" s="1366"/>
      <c r="AA57" s="1366"/>
      <c r="AB57" s="1366"/>
      <c r="AC57" s="1366"/>
      <c r="AD57" s="1366"/>
      <c r="AE57" s="1366"/>
      <c r="AF57" s="1366"/>
      <c r="AG57" s="1366"/>
      <c r="AH57" s="1366"/>
      <c r="AI57" s="1366"/>
      <c r="AJ57" s="1366"/>
      <c r="AK57" s="1366"/>
      <c r="AL57" s="1367"/>
    </row>
    <row r="58" spans="2:44" ht="12" customHeight="1" x14ac:dyDescent="0.25">
      <c r="B58" s="1416" t="s">
        <v>933</v>
      </c>
      <c r="C58" s="1361"/>
      <c r="D58" s="1361"/>
      <c r="E58" s="1361"/>
      <c r="F58" s="1361"/>
      <c r="G58" s="1361"/>
      <c r="H58" s="1361"/>
      <c r="I58" s="1361"/>
      <c r="J58" s="1361"/>
      <c r="K58" s="1361"/>
      <c r="L58" s="1361"/>
      <c r="M58" s="1361"/>
      <c r="N58" s="1361"/>
      <c r="O58" s="1361"/>
      <c r="P58" s="1361"/>
      <c r="Q58" s="1361"/>
      <c r="R58" s="1361"/>
      <c r="S58" s="1361"/>
      <c r="T58" s="1361"/>
      <c r="U58" s="1361"/>
      <c r="V58" s="1361"/>
      <c r="W58" s="1417"/>
      <c r="X58" s="1418" t="str">
        <f>IF(X54="","",IF(X56="",X54,X54+X56))</f>
        <v/>
      </c>
      <c r="Y58" s="1419"/>
      <c r="AA58" s="1565" t="s">
        <v>934</v>
      </c>
      <c r="AB58" s="1565"/>
      <c r="AC58" s="1565"/>
      <c r="AD58" s="1565"/>
      <c r="AE58" s="1565"/>
      <c r="AF58" s="1565"/>
      <c r="AG58" s="1565"/>
      <c r="AH58" s="1565"/>
      <c r="AI58" s="1565"/>
      <c r="AJ58" s="1565"/>
      <c r="AK58" s="1565"/>
      <c r="AL58" s="343"/>
    </row>
    <row r="59" spans="2:44" ht="3" customHeight="1" x14ac:dyDescent="0.25">
      <c r="B59" s="1365"/>
      <c r="C59" s="1366"/>
      <c r="D59" s="1366"/>
      <c r="E59" s="1366"/>
      <c r="F59" s="1366"/>
      <c r="G59" s="1366"/>
      <c r="H59" s="1366"/>
      <c r="I59" s="1366"/>
      <c r="J59" s="1366"/>
      <c r="K59" s="1366"/>
      <c r="L59" s="1366"/>
      <c r="M59" s="1366"/>
      <c r="N59" s="1366"/>
      <c r="O59" s="1366"/>
      <c r="P59" s="1366"/>
      <c r="Q59" s="1366"/>
      <c r="R59" s="1366"/>
      <c r="S59" s="1366"/>
      <c r="T59" s="1366"/>
      <c r="U59" s="1366"/>
      <c r="V59" s="1366"/>
      <c r="W59" s="1366"/>
      <c r="X59" s="1366"/>
      <c r="Y59" s="1366"/>
      <c r="Z59" s="1366"/>
      <c r="AA59" s="1366"/>
      <c r="AB59" s="1366"/>
      <c r="AC59" s="1366"/>
      <c r="AD59" s="1366"/>
      <c r="AE59" s="1366"/>
      <c r="AF59" s="1366"/>
      <c r="AG59" s="1366"/>
      <c r="AH59" s="1366"/>
      <c r="AI59" s="1366"/>
      <c r="AJ59" s="1366"/>
      <c r="AK59" s="1366"/>
      <c r="AL59" s="1367"/>
    </row>
    <row r="60" spans="2:44" ht="12" customHeight="1" x14ac:dyDescent="0.25">
      <c r="B60" s="1416" t="s">
        <v>844</v>
      </c>
      <c r="C60" s="1361"/>
      <c r="D60" s="1361"/>
      <c r="E60" s="1361"/>
      <c r="F60" s="1361"/>
      <c r="G60" s="1361"/>
      <c r="H60" s="1361"/>
      <c r="I60" s="1361"/>
      <c r="J60" s="1361"/>
      <c r="K60" s="1361"/>
      <c r="L60" s="1361"/>
      <c r="M60" s="1361"/>
      <c r="N60" s="1361"/>
      <c r="O60" s="1361"/>
      <c r="P60" s="1361"/>
      <c r="Q60" s="1361"/>
      <c r="R60" s="1361"/>
      <c r="S60" s="1361"/>
      <c r="T60" s="1361"/>
      <c r="U60" s="1361"/>
      <c r="V60" s="1361"/>
      <c r="W60" s="1417"/>
      <c r="X60" s="1418" t="str">
        <f>IF(AJ42="","",IF(R52="","",IF(K52="","",0.052*AJ42*K52*R52)))</f>
        <v/>
      </c>
      <c r="Y60" s="1419"/>
      <c r="AA60" s="1359" t="s">
        <v>935</v>
      </c>
      <c r="AB60" s="1359"/>
      <c r="AC60" s="1359"/>
      <c r="AD60" s="1413"/>
      <c r="AE60" s="1414"/>
      <c r="AF60" s="1415"/>
      <c r="AG60" s="1420" t="s">
        <v>936</v>
      </c>
      <c r="AH60" s="1361"/>
      <c r="AI60" s="1361"/>
      <c r="AJ60" s="1361"/>
      <c r="AK60" s="347"/>
      <c r="AL60" s="343"/>
    </row>
    <row r="61" spans="2:44" ht="3" customHeight="1" x14ac:dyDescent="0.25">
      <c r="B61" s="1365"/>
      <c r="C61" s="1366"/>
      <c r="D61" s="1366"/>
      <c r="E61" s="1366"/>
      <c r="F61" s="1366"/>
      <c r="G61" s="1366"/>
      <c r="H61" s="1366"/>
      <c r="I61" s="1366"/>
      <c r="J61" s="1366"/>
      <c r="K61" s="1366"/>
      <c r="L61" s="1366"/>
      <c r="M61" s="1366"/>
      <c r="N61" s="1366"/>
      <c r="O61" s="1366"/>
      <c r="P61" s="1366"/>
      <c r="Q61" s="1366"/>
      <c r="R61" s="1366"/>
      <c r="S61" s="1366"/>
      <c r="T61" s="1366"/>
      <c r="U61" s="1366"/>
      <c r="V61" s="1366"/>
      <c r="W61" s="1366"/>
      <c r="X61" s="1366"/>
      <c r="Y61" s="1366"/>
      <c r="Z61" s="1366"/>
      <c r="AA61" s="1366"/>
      <c r="AB61" s="1366"/>
      <c r="AC61" s="1366"/>
      <c r="AD61" s="1366"/>
      <c r="AE61" s="1366"/>
      <c r="AF61" s="1366"/>
      <c r="AG61" s="1366"/>
      <c r="AH61" s="1366"/>
      <c r="AI61" s="1366"/>
      <c r="AJ61" s="1366"/>
      <c r="AK61" s="1366"/>
      <c r="AL61" s="1367"/>
    </row>
    <row r="62" spans="2:44" ht="12" customHeight="1" x14ac:dyDescent="0.25">
      <c r="B62" s="1416" t="s">
        <v>845</v>
      </c>
      <c r="C62" s="1361"/>
      <c r="D62" s="1361"/>
      <c r="E62" s="1361"/>
      <c r="F62" s="1361"/>
      <c r="G62" s="1361"/>
      <c r="H62" s="1361"/>
      <c r="I62" s="1361"/>
      <c r="J62" s="1361"/>
      <c r="K62" s="1361"/>
      <c r="L62" s="1361"/>
      <c r="M62" s="1361"/>
      <c r="N62" s="1361"/>
      <c r="O62" s="1361"/>
      <c r="P62" s="1361"/>
      <c r="Q62" s="1361"/>
      <c r="R62" s="1361"/>
      <c r="S62" s="1361"/>
      <c r="T62" s="1361"/>
      <c r="U62" s="1361"/>
      <c r="V62" s="1361"/>
      <c r="W62" s="1417"/>
      <c r="X62" s="1418" t="str">
        <f>IF(X58="","",IF(X60="","",X58-X60))</f>
        <v/>
      </c>
      <c r="Y62" s="1419"/>
      <c r="AA62" s="1359" t="s">
        <v>937</v>
      </c>
      <c r="AB62" s="1359"/>
      <c r="AC62" s="1359"/>
      <c r="AD62" s="1359"/>
      <c r="AE62" s="1414"/>
      <c r="AF62" s="1415"/>
      <c r="AG62" s="1420" t="s">
        <v>938</v>
      </c>
      <c r="AH62" s="1361"/>
      <c r="AI62" s="1361"/>
      <c r="AJ62" s="1417"/>
      <c r="AK62" s="347"/>
      <c r="AL62" s="343"/>
    </row>
    <row r="63" spans="2:44" ht="3" customHeight="1" thickBot="1" x14ac:dyDescent="0.3">
      <c r="B63" s="1421"/>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1422"/>
    </row>
    <row r="64" spans="2:44" ht="3" customHeight="1" thickBot="1" x14ac:dyDescent="0.3"/>
    <row r="65" spans="2:38" ht="3" customHeight="1" x14ac:dyDescent="0.25">
      <c r="B65" s="574"/>
      <c r="C65" s="575"/>
      <c r="D65" s="575"/>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6"/>
    </row>
    <row r="66" spans="2:38" ht="15.75" x14ac:dyDescent="0.25">
      <c r="B66" s="1370" t="s">
        <v>939</v>
      </c>
      <c r="C66" s="1371"/>
      <c r="D66" s="1371"/>
      <c r="E66" s="1371"/>
      <c r="F66" s="1371"/>
      <c r="G66" s="1371"/>
      <c r="H66" s="1371"/>
      <c r="I66" s="1371"/>
      <c r="J66" s="1371"/>
      <c r="K66" s="1371"/>
      <c r="L66" s="1371"/>
      <c r="M66" s="1371"/>
      <c r="N66" s="1371"/>
      <c r="O66" s="1371"/>
      <c r="P66" s="1371"/>
      <c r="Q66" s="1371"/>
      <c r="R66" s="1371"/>
      <c r="S66" s="1371"/>
      <c r="T66" s="1371"/>
      <c r="U66" s="1371"/>
      <c r="V66" s="1371"/>
      <c r="W66" s="1371"/>
      <c r="X66" s="1371"/>
      <c r="Y66" s="1371"/>
      <c r="Z66" s="1371"/>
      <c r="AA66" s="1371"/>
      <c r="AB66" s="1371"/>
      <c r="AC66" s="1372" t="s">
        <v>1003</v>
      </c>
      <c r="AD66" s="1372"/>
      <c r="AE66" s="1372"/>
      <c r="AF66" s="1372"/>
      <c r="AG66" s="1372"/>
      <c r="AH66" s="1373"/>
      <c r="AI66" s="1373"/>
      <c r="AJ66" s="1373"/>
      <c r="AK66" s="1373"/>
      <c r="AL66" s="339"/>
    </row>
    <row r="67" spans="2:38" ht="3" customHeight="1" x14ac:dyDescent="0.25">
      <c r="B67" s="340"/>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39"/>
    </row>
    <row r="68" spans="2:38" x14ac:dyDescent="0.25">
      <c r="B68" s="1374" t="s">
        <v>897</v>
      </c>
      <c r="C68" s="1375"/>
      <c r="D68" s="1375"/>
      <c r="E68" s="1375"/>
      <c r="F68" s="1375"/>
      <c r="G68" s="1375"/>
      <c r="H68" s="1375"/>
      <c r="I68" s="1375"/>
      <c r="J68" s="1375"/>
      <c r="K68" s="1375"/>
      <c r="L68" s="1375"/>
      <c r="M68" s="1375"/>
      <c r="N68" s="1375"/>
      <c r="O68" s="1375"/>
      <c r="P68" s="1375"/>
      <c r="Q68" s="1375"/>
      <c r="R68" s="1375"/>
      <c r="S68" s="1375"/>
      <c r="T68" s="1375"/>
      <c r="U68" s="1375"/>
      <c r="V68" s="1375"/>
      <c r="W68" s="1375"/>
      <c r="X68" s="1375"/>
      <c r="Y68" s="1375"/>
      <c r="Z68" s="1375"/>
      <c r="AA68" s="1375"/>
      <c r="AB68" s="1375"/>
      <c r="AC68" s="1375"/>
      <c r="AD68" s="1375"/>
      <c r="AE68" s="1375"/>
      <c r="AF68" s="1375"/>
      <c r="AG68" s="1375"/>
      <c r="AH68" s="1375"/>
      <c r="AI68" s="1375"/>
      <c r="AJ68" s="1375"/>
      <c r="AK68" s="1375"/>
      <c r="AL68" s="1376"/>
    </row>
    <row r="69" spans="2:38" ht="3" customHeight="1" x14ac:dyDescent="0.25">
      <c r="B69" s="1365"/>
      <c r="C69" s="1366"/>
      <c r="D69" s="1366"/>
      <c r="E69" s="1366"/>
      <c r="F69" s="1366"/>
      <c r="G69" s="1366"/>
      <c r="H69" s="1366"/>
      <c r="I69" s="1366"/>
      <c r="J69" s="1366"/>
      <c r="K69" s="1366"/>
      <c r="L69" s="1366"/>
      <c r="M69" s="1366"/>
      <c r="N69" s="1366"/>
      <c r="O69" s="1366"/>
      <c r="P69" s="1366"/>
      <c r="Q69" s="1366"/>
      <c r="R69" s="1366"/>
      <c r="S69" s="1366"/>
      <c r="T69" s="1367"/>
      <c r="U69" s="1365"/>
      <c r="V69" s="1366"/>
      <c r="W69" s="1366"/>
      <c r="X69" s="1366"/>
      <c r="Y69" s="1366"/>
      <c r="Z69" s="1366"/>
      <c r="AA69" s="1366"/>
      <c r="AB69" s="1366"/>
      <c r="AC69" s="1366"/>
      <c r="AD69" s="1366"/>
      <c r="AE69" s="1366"/>
      <c r="AF69" s="1366"/>
      <c r="AG69" s="1366"/>
      <c r="AH69" s="1366"/>
      <c r="AI69" s="1366"/>
      <c r="AJ69" s="1366"/>
      <c r="AK69" s="1366"/>
      <c r="AL69" s="1367"/>
    </row>
    <row r="70" spans="2:38" x14ac:dyDescent="0.25">
      <c r="B70" s="1416" t="s">
        <v>898</v>
      </c>
      <c r="C70" s="1361"/>
      <c r="D70" s="1361"/>
      <c r="E70" s="1361"/>
      <c r="F70" s="1361"/>
      <c r="G70" s="1361"/>
      <c r="H70" s="1361"/>
      <c r="I70" s="1361"/>
      <c r="J70" s="1361"/>
      <c r="K70" s="1361"/>
      <c r="L70" s="1361"/>
      <c r="M70" s="1361"/>
      <c r="N70" s="1361"/>
      <c r="O70" s="1361"/>
      <c r="P70" s="1361"/>
      <c r="Q70" s="372"/>
      <c r="R70" s="1414"/>
      <c r="S70" s="1415"/>
      <c r="T70" s="346"/>
      <c r="U70" s="1425" t="s">
        <v>899</v>
      </c>
      <c r="V70" s="1369"/>
      <c r="W70" s="1369"/>
      <c r="X70" s="1369"/>
      <c r="Y70" s="1369"/>
      <c r="Z70" s="1369"/>
      <c r="AA70" s="1369"/>
      <c r="AB70" s="1369"/>
      <c r="AC70" s="1369"/>
      <c r="AD70" s="1369"/>
      <c r="AE70" s="1369"/>
      <c r="AF70" s="1369"/>
      <c r="AG70" s="1369"/>
      <c r="AH70" s="1369"/>
      <c r="AI70" s="1369"/>
      <c r="AJ70" s="1369"/>
      <c r="AK70" s="1369"/>
      <c r="AL70" s="1426"/>
    </row>
    <row r="71" spans="2:38" ht="3" customHeight="1" x14ac:dyDescent="0.25">
      <c r="B71" s="373"/>
      <c r="C71" s="331"/>
      <c r="D71" s="331"/>
      <c r="E71" s="331"/>
      <c r="F71" s="331"/>
      <c r="G71" s="331"/>
      <c r="H71" s="331"/>
      <c r="I71" s="331"/>
      <c r="J71" s="331"/>
      <c r="K71" s="331"/>
      <c r="L71" s="331"/>
      <c r="M71" s="331"/>
      <c r="N71" s="331"/>
      <c r="O71" s="1"/>
      <c r="P71" s="1"/>
      <c r="Q71" s="1"/>
      <c r="R71" s="1"/>
      <c r="S71" s="1"/>
      <c r="T71" s="346"/>
      <c r="U71" s="1"/>
      <c r="V71" s="1"/>
      <c r="W71" s="1"/>
      <c r="X71" s="1"/>
      <c r="Y71" s="1"/>
      <c r="Z71" s="1"/>
      <c r="AA71" s="1"/>
      <c r="AB71" s="1"/>
      <c r="AC71" s="1"/>
      <c r="AD71" s="1"/>
      <c r="AE71" s="1"/>
      <c r="AF71" s="1"/>
      <c r="AG71" s="1"/>
      <c r="AH71" s="1"/>
      <c r="AI71" s="1"/>
      <c r="AJ71" s="1"/>
      <c r="AK71" s="1"/>
      <c r="AL71" s="346"/>
    </row>
    <row r="72" spans="2:38" x14ac:dyDescent="0.25">
      <c r="B72" s="1416" t="s">
        <v>900</v>
      </c>
      <c r="C72" s="1361"/>
      <c r="D72" s="1361"/>
      <c r="E72" s="1361"/>
      <c r="F72" s="1361"/>
      <c r="G72" s="1417"/>
      <c r="H72" s="1569"/>
      <c r="I72" s="1570"/>
      <c r="J72" s="1420" t="s">
        <v>901</v>
      </c>
      <c r="K72" s="1361"/>
      <c r="L72" s="1361"/>
      <c r="M72" s="1361"/>
      <c r="N72" s="1361"/>
      <c r="O72" s="1361"/>
      <c r="P72" s="1361"/>
      <c r="Q72" s="1417"/>
      <c r="R72" s="1389"/>
      <c r="S72" s="1390"/>
      <c r="T72" s="346"/>
      <c r="U72" s="1416" t="s">
        <v>902</v>
      </c>
      <c r="V72" s="1361"/>
      <c r="W72" s="1361"/>
      <c r="X72" s="1361"/>
      <c r="Y72" s="1361"/>
      <c r="Z72" s="1361"/>
      <c r="AA72" s="1361"/>
      <c r="AB72" s="1361"/>
      <c r="AC72" s="1361"/>
      <c r="AD72" s="1361"/>
      <c r="AE72" s="1361"/>
      <c r="AF72" s="1361"/>
      <c r="AG72" s="1361"/>
      <c r="AH72" s="1361"/>
      <c r="AI72" s="1417"/>
      <c r="AJ72" s="1389"/>
      <c r="AK72" s="1390"/>
      <c r="AL72" s="374"/>
    </row>
    <row r="73" spans="2:38" ht="3" customHeight="1" x14ac:dyDescent="0.25">
      <c r="B73" s="375"/>
      <c r="C73" s="333"/>
      <c r="D73" s="333"/>
      <c r="E73" s="333"/>
      <c r="F73" s="333"/>
      <c r="G73" s="333"/>
      <c r="H73" s="333"/>
      <c r="I73" s="333"/>
      <c r="J73" s="1"/>
      <c r="K73" s="1"/>
      <c r="L73" s="1"/>
      <c r="M73" s="1"/>
      <c r="N73" s="1"/>
      <c r="O73" s="1"/>
      <c r="P73" s="1"/>
      <c r="Q73" s="1"/>
      <c r="R73" s="1"/>
      <c r="S73" s="1"/>
      <c r="T73" s="346"/>
      <c r="U73" s="1"/>
      <c r="V73" s="1"/>
      <c r="W73" s="1"/>
      <c r="X73" s="1"/>
      <c r="Y73" s="1"/>
      <c r="Z73" s="1"/>
      <c r="AA73" s="1"/>
      <c r="AB73" s="1"/>
      <c r="AC73" s="1"/>
      <c r="AD73" s="1"/>
      <c r="AE73" s="1"/>
      <c r="AF73" s="1"/>
      <c r="AG73" s="1"/>
      <c r="AH73" s="1"/>
      <c r="AI73" s="1"/>
      <c r="AJ73" s="1"/>
      <c r="AK73" s="1"/>
      <c r="AL73" s="346"/>
    </row>
    <row r="74" spans="2:38" x14ac:dyDescent="0.25">
      <c r="B74" s="1416" t="s">
        <v>903</v>
      </c>
      <c r="C74" s="1361"/>
      <c r="D74" s="1361"/>
      <c r="E74" s="1361"/>
      <c r="F74" s="1361"/>
      <c r="G74" s="1361"/>
      <c r="H74" s="1361"/>
      <c r="I74" s="1361"/>
      <c r="J74" s="1361"/>
      <c r="K74" s="1361"/>
      <c r="L74" s="1361"/>
      <c r="M74" s="1361"/>
      <c r="N74" s="1361"/>
      <c r="O74" s="1361"/>
      <c r="P74" s="1361"/>
      <c r="Q74" s="1"/>
      <c r="R74" s="1414"/>
      <c r="S74" s="1415"/>
      <c r="T74" s="346"/>
      <c r="U74" s="1416" t="s">
        <v>904</v>
      </c>
      <c r="V74" s="1361"/>
      <c r="W74" s="1361"/>
      <c r="X74" s="1361"/>
      <c r="Y74" s="1417"/>
      <c r="Z74" s="1414"/>
      <c r="AA74" s="1415"/>
      <c r="AB74" s="1491" t="s">
        <v>1006</v>
      </c>
      <c r="AC74" s="1387"/>
      <c r="AD74" s="1387"/>
      <c r="AE74" s="1387"/>
      <c r="AF74" s="1387"/>
      <c r="AG74" s="1387"/>
      <c r="AH74" s="1387"/>
      <c r="AI74" s="1492"/>
      <c r="AJ74" s="1414"/>
      <c r="AK74" s="1415"/>
      <c r="AL74" s="374"/>
    </row>
    <row r="75" spans="2:38" ht="3" customHeight="1" x14ac:dyDescent="0.25">
      <c r="B75" s="375"/>
      <c r="C75" s="333"/>
      <c r="D75" s="333"/>
      <c r="E75" s="333"/>
      <c r="F75" s="333"/>
      <c r="G75" s="333"/>
      <c r="H75" s="333"/>
      <c r="I75" s="333"/>
      <c r="J75" s="333"/>
      <c r="K75" s="333"/>
      <c r="L75" s="333"/>
      <c r="M75" s="333"/>
      <c r="N75" s="333"/>
      <c r="O75" s="333"/>
      <c r="P75" s="333"/>
      <c r="Q75" s="333"/>
      <c r="R75" s="333"/>
      <c r="S75" s="1"/>
      <c r="T75" s="346"/>
      <c r="U75" s="1"/>
      <c r="V75" s="1"/>
      <c r="W75" s="1"/>
      <c r="X75" s="1"/>
      <c r="Y75" s="1"/>
      <c r="Z75" s="331"/>
      <c r="AA75" s="331"/>
      <c r="AB75" s="1"/>
      <c r="AC75" s="1"/>
      <c r="AD75" s="1"/>
      <c r="AE75" s="1"/>
      <c r="AF75" s="1"/>
      <c r="AG75" s="1"/>
      <c r="AH75" s="1"/>
      <c r="AI75" s="1"/>
      <c r="AJ75" s="1"/>
      <c r="AK75" s="331"/>
      <c r="AL75" s="376"/>
    </row>
    <row r="76" spans="2:38" x14ac:dyDescent="0.25">
      <c r="B76" s="1416" t="s">
        <v>1007</v>
      </c>
      <c r="C76" s="1361"/>
      <c r="D76" s="1361"/>
      <c r="E76" s="1361"/>
      <c r="F76" s="1361"/>
      <c r="G76" s="1417"/>
      <c r="H76" s="1414"/>
      <c r="I76" s="1415"/>
      <c r="J76" s="1567" t="s">
        <v>905</v>
      </c>
      <c r="K76" s="1568"/>
      <c r="L76" s="1568"/>
      <c r="M76" s="1568"/>
      <c r="N76" s="1568"/>
      <c r="O76" s="1568"/>
      <c r="P76" s="1568"/>
      <c r="Q76" s="1571"/>
      <c r="R76" s="1414"/>
      <c r="S76" s="1415"/>
      <c r="T76" s="346"/>
      <c r="U76" s="1425" t="s">
        <v>906</v>
      </c>
      <c r="V76" s="1369"/>
      <c r="W76" s="1369"/>
      <c r="X76" s="1369"/>
      <c r="Y76" s="1369"/>
      <c r="Z76" s="1369"/>
      <c r="AA76" s="1369"/>
      <c r="AB76" s="1369"/>
      <c r="AC76" s="1369"/>
      <c r="AD76" s="1369"/>
      <c r="AE76" s="1369"/>
      <c r="AF76" s="1369"/>
      <c r="AG76" s="1369"/>
      <c r="AH76" s="1369"/>
      <c r="AI76" s="1369"/>
      <c r="AJ76" s="1369"/>
      <c r="AK76" s="1369"/>
      <c r="AL76" s="1426"/>
    </row>
    <row r="77" spans="2:38" ht="3" customHeight="1" x14ac:dyDescent="0.25">
      <c r="B77" s="377"/>
      <c r="C77" s="332"/>
      <c r="D77" s="332"/>
      <c r="E77" s="332"/>
      <c r="F77" s="332"/>
      <c r="G77" s="332"/>
      <c r="H77" s="331"/>
      <c r="I77" s="331"/>
      <c r="J77" s="1"/>
      <c r="K77" s="1"/>
      <c r="L77" s="1"/>
      <c r="M77" s="1"/>
      <c r="N77" s="1"/>
      <c r="O77" s="1"/>
      <c r="P77" s="1"/>
      <c r="Q77" s="1"/>
      <c r="R77" s="1"/>
      <c r="S77" s="1"/>
      <c r="T77" s="346"/>
      <c r="U77" s="378"/>
      <c r="V77" s="378"/>
      <c r="W77" s="378"/>
      <c r="X77" s="378"/>
      <c r="Y77" s="378"/>
      <c r="Z77" s="378"/>
      <c r="AA77" s="378"/>
      <c r="AB77" s="378"/>
      <c r="AC77" s="378"/>
      <c r="AD77" s="378"/>
      <c r="AE77" s="378"/>
      <c r="AF77" s="378"/>
      <c r="AG77" s="378"/>
      <c r="AH77" s="378"/>
      <c r="AI77" s="378"/>
      <c r="AJ77" s="378"/>
      <c r="AK77" s="378"/>
      <c r="AL77" s="379"/>
    </row>
    <row r="78" spans="2:38" x14ac:dyDescent="0.25">
      <c r="B78" s="1416" t="s">
        <v>978</v>
      </c>
      <c r="C78" s="1361"/>
      <c r="D78" s="1361"/>
      <c r="E78" s="1361"/>
      <c r="F78" s="1361"/>
      <c r="G78" s="1361"/>
      <c r="H78" s="1361"/>
      <c r="I78" s="1361"/>
      <c r="J78" s="1361"/>
      <c r="K78" s="1361"/>
      <c r="L78" s="1361"/>
      <c r="M78" s="1361"/>
      <c r="N78" s="1361"/>
      <c r="O78" s="1361"/>
      <c r="P78" s="1361"/>
      <c r="Q78" s="372"/>
      <c r="R78" s="1414"/>
      <c r="S78" s="1415"/>
      <c r="T78" s="346"/>
      <c r="U78" s="1416" t="s">
        <v>907</v>
      </c>
      <c r="V78" s="1361"/>
      <c r="W78" s="1361"/>
      <c r="X78" s="1361"/>
      <c r="Y78" s="1361"/>
      <c r="Z78" s="1417"/>
      <c r="AA78" s="1414"/>
      <c r="AB78" s="1415"/>
      <c r="AC78" s="1420" t="s">
        <v>908</v>
      </c>
      <c r="AD78" s="1361"/>
      <c r="AE78" s="1361"/>
      <c r="AF78" s="1361"/>
      <c r="AG78" s="1361"/>
      <c r="AH78" s="1361"/>
      <c r="AI78" s="1417"/>
      <c r="AJ78" s="1389"/>
      <c r="AK78" s="1390"/>
      <c r="AL78" s="374"/>
    </row>
    <row r="79" spans="2:38" ht="3" customHeight="1" x14ac:dyDescent="0.25">
      <c r="B79" s="375"/>
      <c r="C79" s="333"/>
      <c r="D79" s="333"/>
      <c r="E79" s="333"/>
      <c r="F79" s="333"/>
      <c r="G79" s="333"/>
      <c r="H79" s="333"/>
      <c r="I79" s="333"/>
      <c r="J79" s="333"/>
      <c r="K79" s="333"/>
      <c r="L79" s="333"/>
      <c r="M79" s="1"/>
      <c r="N79" s="1"/>
      <c r="O79" s="1"/>
      <c r="P79" s="1"/>
      <c r="Q79" s="1"/>
      <c r="R79" s="1"/>
      <c r="S79" s="1"/>
      <c r="T79" s="346"/>
      <c r="U79" s="332"/>
      <c r="V79" s="332"/>
      <c r="W79" s="332"/>
      <c r="X79" s="332"/>
      <c r="Y79" s="332"/>
      <c r="Z79" s="332"/>
      <c r="AA79" s="1"/>
      <c r="AB79" s="1"/>
      <c r="AC79" s="1"/>
      <c r="AD79" s="332"/>
      <c r="AE79" s="332"/>
      <c r="AF79" s="332"/>
      <c r="AG79" s="332"/>
      <c r="AH79" s="332"/>
      <c r="AI79" s="332"/>
      <c r="AJ79" s="332"/>
      <c r="AK79" s="1"/>
      <c r="AL79" s="346"/>
    </row>
    <row r="80" spans="2:38" x14ac:dyDescent="0.25">
      <c r="B80" s="1423" t="s">
        <v>992</v>
      </c>
      <c r="C80" s="1424"/>
      <c r="D80" s="1424"/>
      <c r="E80" s="1424"/>
      <c r="F80" s="1424"/>
      <c r="G80" s="1424"/>
      <c r="H80" s="1424"/>
      <c r="I80" s="1424"/>
      <c r="J80" s="1424"/>
      <c r="K80" s="1424"/>
      <c r="L80" s="1424"/>
      <c r="M80" s="1424"/>
      <c r="N80" s="1424"/>
      <c r="O80" s="1424"/>
      <c r="P80" s="1424"/>
      <c r="Q80" s="1"/>
      <c r="R80" s="1"/>
      <c r="S80" s="1"/>
      <c r="T80" s="346"/>
      <c r="U80" s="1416" t="s">
        <v>909</v>
      </c>
      <c r="V80" s="1361"/>
      <c r="W80" s="1361"/>
      <c r="X80" s="1361"/>
      <c r="Y80" s="1361"/>
      <c r="Z80" s="1417"/>
      <c r="AA80" s="1414"/>
      <c r="AB80" s="1415"/>
      <c r="AC80" s="1420" t="s">
        <v>910</v>
      </c>
      <c r="AD80" s="1361"/>
      <c r="AE80" s="1361"/>
      <c r="AF80" s="1361"/>
      <c r="AG80" s="1361"/>
      <c r="AH80" s="1361"/>
      <c r="AI80" s="1417"/>
      <c r="AJ80" s="1389"/>
      <c r="AK80" s="1390"/>
      <c r="AL80" s="374"/>
    </row>
    <row r="81" spans="2:45" ht="3" customHeight="1" x14ac:dyDescent="0.25">
      <c r="B81" s="1423"/>
      <c r="C81" s="1424"/>
      <c r="D81" s="1424"/>
      <c r="E81" s="1424"/>
      <c r="F81" s="1424"/>
      <c r="G81" s="1424"/>
      <c r="H81" s="1424"/>
      <c r="I81" s="1424"/>
      <c r="J81" s="1424"/>
      <c r="K81" s="1424"/>
      <c r="L81" s="1424"/>
      <c r="M81" s="1424"/>
      <c r="N81" s="1424"/>
      <c r="O81" s="1424"/>
      <c r="P81" s="1424"/>
      <c r="Q81" s="1"/>
      <c r="R81" s="1"/>
      <c r="S81" s="1"/>
      <c r="T81" s="346"/>
      <c r="U81" s="1"/>
      <c r="V81" s="1"/>
      <c r="W81" s="332"/>
      <c r="X81" s="332"/>
      <c r="Y81" s="332"/>
      <c r="Z81" s="332"/>
      <c r="AA81" s="1"/>
      <c r="AB81" s="1"/>
      <c r="AC81" s="1"/>
      <c r="AD81" s="1"/>
      <c r="AE81" s="1"/>
      <c r="AF81" s="332"/>
      <c r="AG81" s="332"/>
      <c r="AH81" s="332"/>
      <c r="AI81" s="332"/>
      <c r="AJ81" s="332"/>
      <c r="AK81" s="1"/>
      <c r="AL81" s="346"/>
    </row>
    <row r="82" spans="2:45" x14ac:dyDescent="0.25">
      <c r="B82" s="1423"/>
      <c r="C82" s="1424"/>
      <c r="D82" s="1424"/>
      <c r="E82" s="1424"/>
      <c r="F82" s="1424"/>
      <c r="G82" s="1424"/>
      <c r="H82" s="1424"/>
      <c r="I82" s="1424"/>
      <c r="J82" s="1424"/>
      <c r="K82" s="1424"/>
      <c r="L82" s="1424"/>
      <c r="M82" s="1424"/>
      <c r="N82" s="1424"/>
      <c r="O82" s="1424"/>
      <c r="P82" s="1424"/>
      <c r="Q82" s="372"/>
      <c r="R82" s="1414"/>
      <c r="S82" s="1415"/>
      <c r="T82" s="346"/>
      <c r="U82" s="1386" t="s">
        <v>911</v>
      </c>
      <c r="V82" s="1387"/>
      <c r="W82" s="1387"/>
      <c r="X82" s="1387"/>
      <c r="Y82" s="1387"/>
      <c r="Z82" s="1387"/>
      <c r="AA82" s="1387"/>
      <c r="AB82" s="1387"/>
      <c r="AC82" s="1388" t="s">
        <v>912</v>
      </c>
      <c r="AD82" s="1388"/>
      <c r="AE82" s="1388"/>
      <c r="AF82" s="1388"/>
      <c r="AG82" s="1361" t="s">
        <v>913</v>
      </c>
      <c r="AH82" s="1361"/>
      <c r="AI82" s="1417"/>
      <c r="AJ82" s="1389"/>
      <c r="AK82" s="1390"/>
      <c r="AL82" s="374"/>
    </row>
    <row r="83" spans="2:45" ht="3" customHeight="1" x14ac:dyDescent="0.25">
      <c r="B83" s="342"/>
      <c r="T83" s="380"/>
      <c r="AL83" s="343"/>
    </row>
    <row r="84" spans="2:45" ht="10.9" customHeight="1" x14ac:dyDescent="0.25">
      <c r="B84" s="1394" t="s">
        <v>979</v>
      </c>
      <c r="C84" s="1395"/>
      <c r="D84" s="1395"/>
      <c r="E84" s="1395"/>
      <c r="F84" s="1395"/>
      <c r="G84" s="1395"/>
      <c r="H84" s="1395"/>
      <c r="I84" s="1395"/>
      <c r="J84" s="1395"/>
      <c r="K84" s="1395"/>
      <c r="L84" s="1395"/>
      <c r="M84" s="1395"/>
      <c r="N84" s="1395"/>
      <c r="O84" s="1395"/>
      <c r="P84" s="1395"/>
      <c r="Q84" s="1395"/>
      <c r="R84" s="1395"/>
      <c r="S84" s="1395"/>
      <c r="T84" s="1396"/>
      <c r="U84" s="1394" t="s">
        <v>981</v>
      </c>
      <c r="V84" s="1395"/>
      <c r="W84" s="1395"/>
      <c r="X84" s="1395"/>
      <c r="Y84" s="1395"/>
      <c r="Z84" s="1395"/>
      <c r="AA84" s="1395"/>
      <c r="AB84" s="1395"/>
      <c r="AC84" s="1395"/>
      <c r="AD84" s="1395"/>
      <c r="AE84" s="1395"/>
      <c r="AF84" s="1395"/>
      <c r="AG84" s="1395"/>
      <c r="AH84" s="1395"/>
      <c r="AI84" s="1395"/>
      <c r="AJ84" s="1395"/>
      <c r="AK84" s="1395"/>
      <c r="AL84" s="1396"/>
    </row>
    <row r="85" spans="2:45" ht="10.9" customHeight="1" x14ac:dyDescent="0.25">
      <c r="B85" s="1391" t="s">
        <v>980</v>
      </c>
      <c r="C85" s="1392"/>
      <c r="D85" s="1392"/>
      <c r="E85" s="1392"/>
      <c r="F85" s="1392"/>
      <c r="G85" s="1392"/>
      <c r="H85" s="1392"/>
      <c r="I85" s="1392"/>
      <c r="J85" s="1392"/>
      <c r="K85" s="1392"/>
      <c r="L85" s="1392"/>
      <c r="M85" s="1392"/>
      <c r="N85" s="1392"/>
      <c r="O85" s="1392"/>
      <c r="P85" s="1392"/>
      <c r="Q85" s="1392"/>
      <c r="R85" s="1392"/>
      <c r="S85" s="1392"/>
      <c r="T85" s="1393"/>
      <c r="U85" s="1391" t="s">
        <v>982</v>
      </c>
      <c r="V85" s="1392"/>
      <c r="W85" s="1392"/>
      <c r="X85" s="1392"/>
      <c r="Y85" s="1392"/>
      <c r="Z85" s="1392"/>
      <c r="AA85" s="1392"/>
      <c r="AB85" s="1392"/>
      <c r="AC85" s="1392"/>
      <c r="AD85" s="1392"/>
      <c r="AE85" s="1392"/>
      <c r="AF85" s="1392"/>
      <c r="AG85" s="1392"/>
      <c r="AH85" s="1392"/>
      <c r="AI85" s="1392"/>
      <c r="AJ85" s="1392"/>
      <c r="AK85" s="1392"/>
      <c r="AL85" s="1393"/>
    </row>
    <row r="86" spans="2:45" ht="10.9" customHeight="1" x14ac:dyDescent="0.25">
      <c r="B86" s="1397"/>
      <c r="C86" s="1398"/>
      <c r="D86" s="1398"/>
      <c r="E86" s="1398"/>
      <c r="F86" s="1398"/>
      <c r="G86" s="1398"/>
      <c r="H86" s="1398"/>
      <c r="I86" s="1398"/>
      <c r="J86" s="1398"/>
      <c r="K86" s="1398"/>
      <c r="L86" s="1398"/>
      <c r="M86" s="1398"/>
      <c r="N86" s="1398"/>
      <c r="O86" s="1398"/>
      <c r="P86" s="1398"/>
      <c r="Q86" s="1398"/>
      <c r="R86" s="1398"/>
      <c r="S86" s="1398"/>
      <c r="T86" s="1399"/>
      <c r="U86" s="1391" t="s">
        <v>983</v>
      </c>
      <c r="V86" s="1392"/>
      <c r="W86" s="1392"/>
      <c r="X86" s="1392"/>
      <c r="Y86" s="1392"/>
      <c r="Z86" s="1392"/>
      <c r="AA86" s="1392"/>
      <c r="AB86" s="1392"/>
      <c r="AC86" s="1392"/>
      <c r="AD86" s="1392"/>
      <c r="AE86" s="1392"/>
      <c r="AF86" s="1392"/>
      <c r="AG86" s="1392"/>
      <c r="AH86" s="1392"/>
      <c r="AI86" s="1392"/>
      <c r="AJ86" s="1392"/>
      <c r="AK86" s="1392"/>
      <c r="AL86" s="1393"/>
    </row>
    <row r="87" spans="2:45" ht="10.9" customHeight="1" x14ac:dyDescent="0.25">
      <c r="B87" s="1397"/>
      <c r="C87" s="1398"/>
      <c r="D87" s="1398"/>
      <c r="E87" s="1398"/>
      <c r="F87" s="1398"/>
      <c r="G87" s="1398"/>
      <c r="H87" s="1398"/>
      <c r="I87" s="1398"/>
      <c r="J87" s="1398"/>
      <c r="K87" s="1398"/>
      <c r="L87" s="1398"/>
      <c r="M87" s="1398"/>
      <c r="N87" s="1398"/>
      <c r="O87" s="1398"/>
      <c r="P87" s="1398"/>
      <c r="Q87" s="1398"/>
      <c r="R87" s="1398"/>
      <c r="S87" s="1398"/>
      <c r="T87" s="1399"/>
      <c r="U87" s="1397"/>
      <c r="V87" s="1398"/>
      <c r="W87" s="1398"/>
      <c r="X87" s="1398"/>
      <c r="Y87" s="1398"/>
      <c r="Z87" s="1398"/>
      <c r="AA87" s="1398"/>
      <c r="AB87" s="1398"/>
      <c r="AC87" s="1398"/>
      <c r="AD87" s="1398"/>
      <c r="AE87" s="1398"/>
      <c r="AF87" s="1398"/>
      <c r="AG87" s="1398"/>
      <c r="AH87" s="1398"/>
      <c r="AI87" s="1398"/>
      <c r="AJ87" s="1398"/>
      <c r="AK87" s="1398"/>
      <c r="AL87" s="1399"/>
    </row>
    <row r="88" spans="2:45" ht="10.9" customHeight="1" x14ac:dyDescent="0.25">
      <c r="B88" s="1397"/>
      <c r="C88" s="1398"/>
      <c r="D88" s="1398"/>
      <c r="E88" s="1398"/>
      <c r="F88" s="1398"/>
      <c r="G88" s="1398"/>
      <c r="H88" s="1398"/>
      <c r="I88" s="1398"/>
      <c r="J88" s="1398"/>
      <c r="K88" s="1398"/>
      <c r="L88" s="1398"/>
      <c r="M88" s="1398"/>
      <c r="N88" s="1398"/>
      <c r="O88" s="1398"/>
      <c r="P88" s="1398"/>
      <c r="Q88" s="1398"/>
      <c r="R88" s="1398"/>
      <c r="S88" s="1398"/>
      <c r="T88" s="1399"/>
      <c r="U88" s="1397"/>
      <c r="V88" s="1398"/>
      <c r="W88" s="1398"/>
      <c r="X88" s="1398"/>
      <c r="Y88" s="1398"/>
      <c r="Z88" s="1398"/>
      <c r="AA88" s="1398"/>
      <c r="AB88" s="1398"/>
      <c r="AC88" s="1398"/>
      <c r="AD88" s="1398"/>
      <c r="AE88" s="1398"/>
      <c r="AF88" s="1398"/>
      <c r="AG88" s="1398"/>
      <c r="AH88" s="1398"/>
      <c r="AI88" s="1398"/>
      <c r="AJ88" s="1398"/>
      <c r="AK88" s="1398"/>
      <c r="AL88" s="1399"/>
    </row>
    <row r="89" spans="2:45" ht="10.9" customHeight="1" x14ac:dyDescent="0.25">
      <c r="B89" s="1397"/>
      <c r="C89" s="1398"/>
      <c r="D89" s="1398"/>
      <c r="E89" s="1398"/>
      <c r="F89" s="1398"/>
      <c r="G89" s="1398"/>
      <c r="H89" s="1398"/>
      <c r="I89" s="1398"/>
      <c r="J89" s="1398"/>
      <c r="K89" s="1398"/>
      <c r="L89" s="1398"/>
      <c r="M89" s="1398"/>
      <c r="N89" s="1398"/>
      <c r="O89" s="1398"/>
      <c r="P89" s="1398"/>
      <c r="Q89" s="1398"/>
      <c r="R89" s="1398"/>
      <c r="S89" s="1398"/>
      <c r="T89" s="1399"/>
      <c r="U89" s="1397"/>
      <c r="V89" s="1398"/>
      <c r="W89" s="1398"/>
      <c r="X89" s="1398"/>
      <c r="Y89" s="1398"/>
      <c r="Z89" s="1398"/>
      <c r="AA89" s="1398"/>
      <c r="AB89" s="1398"/>
      <c r="AC89" s="1398"/>
      <c r="AD89" s="1398"/>
      <c r="AE89" s="1398"/>
      <c r="AF89" s="1398"/>
      <c r="AG89" s="1398"/>
      <c r="AH89" s="1398"/>
      <c r="AI89" s="1398"/>
      <c r="AJ89" s="1398"/>
      <c r="AK89" s="1398"/>
      <c r="AL89" s="1399"/>
    </row>
    <row r="90" spans="2:45" ht="10.9" customHeight="1" x14ac:dyDescent="0.25">
      <c r="B90" s="1400"/>
      <c r="C90" s="1401"/>
      <c r="D90" s="1401"/>
      <c r="E90" s="1401"/>
      <c r="F90" s="1401"/>
      <c r="G90" s="1401"/>
      <c r="H90" s="1401"/>
      <c r="I90" s="1401"/>
      <c r="J90" s="1401"/>
      <c r="K90" s="1401"/>
      <c r="L90" s="1401"/>
      <c r="M90" s="1401"/>
      <c r="N90" s="1401"/>
      <c r="O90" s="1401"/>
      <c r="P90" s="1401"/>
      <c r="Q90" s="1401"/>
      <c r="R90" s="1401"/>
      <c r="S90" s="1401"/>
      <c r="T90" s="1402"/>
      <c r="U90" s="1400"/>
      <c r="V90" s="1401"/>
      <c r="W90" s="1401"/>
      <c r="X90" s="1401"/>
      <c r="Y90" s="1401"/>
      <c r="Z90" s="1401"/>
      <c r="AA90" s="1401"/>
      <c r="AB90" s="1401"/>
      <c r="AC90" s="1401"/>
      <c r="AD90" s="1401"/>
      <c r="AE90" s="1401"/>
      <c r="AF90" s="1401"/>
      <c r="AG90" s="1401"/>
      <c r="AH90" s="1401"/>
      <c r="AI90" s="1401"/>
      <c r="AJ90" s="1401"/>
      <c r="AK90" s="1401"/>
      <c r="AL90" s="1402"/>
    </row>
    <row r="91" spans="2:45" x14ac:dyDescent="0.25">
      <c r="B91" s="1374" t="s">
        <v>914</v>
      </c>
      <c r="C91" s="1375"/>
      <c r="D91" s="1375"/>
      <c r="E91" s="1375"/>
      <c r="F91" s="1375"/>
      <c r="G91" s="1375"/>
      <c r="H91" s="1375"/>
      <c r="I91" s="1375"/>
      <c r="J91" s="1375"/>
      <c r="K91" s="1375"/>
      <c r="L91" s="1375"/>
      <c r="M91" s="1375"/>
      <c r="N91" s="1375"/>
      <c r="O91" s="1375"/>
      <c r="P91" s="1375"/>
      <c r="Q91" s="1375"/>
      <c r="R91" s="1375"/>
      <c r="S91" s="1375"/>
      <c r="T91" s="1375"/>
      <c r="U91" s="1375"/>
      <c r="V91" s="1375"/>
      <c r="W91" s="1375"/>
      <c r="X91" s="1375"/>
      <c r="Y91" s="1375"/>
      <c r="Z91" s="1375"/>
      <c r="AA91" s="1375"/>
      <c r="AB91" s="1375"/>
      <c r="AC91" s="1375"/>
      <c r="AD91" s="1375"/>
      <c r="AE91" s="1375"/>
      <c r="AF91" s="1375"/>
      <c r="AG91" s="1375"/>
      <c r="AH91" s="1375"/>
      <c r="AI91" s="1375"/>
      <c r="AJ91" s="1375"/>
      <c r="AK91" s="1375"/>
      <c r="AL91" s="1376"/>
    </row>
    <row r="92" spans="2:45" x14ac:dyDescent="0.25">
      <c r="B92" s="1427" t="s">
        <v>822</v>
      </c>
      <c r="C92" s="1428"/>
      <c r="D92" s="1428"/>
      <c r="E92" s="1428"/>
      <c r="F92" s="1428"/>
      <c r="G92" s="1428"/>
      <c r="H92" s="1428"/>
      <c r="I92" s="1428"/>
      <c r="J92" s="1429"/>
      <c r="K92" s="1380" t="s">
        <v>823</v>
      </c>
      <c r="L92" s="1381"/>
      <c r="M92" s="1382"/>
      <c r="N92" s="1380" t="s">
        <v>915</v>
      </c>
      <c r="O92" s="1381"/>
      <c r="P92" s="1382"/>
      <c r="Q92" s="1380" t="s">
        <v>825</v>
      </c>
      <c r="R92" s="1381"/>
      <c r="S92" s="1382"/>
      <c r="T92" s="1383" t="s">
        <v>916</v>
      </c>
      <c r="U92" s="1384"/>
      <c r="V92" s="1385"/>
      <c r="W92" s="1380" t="s">
        <v>827</v>
      </c>
      <c r="X92" s="1381"/>
      <c r="Y92" s="1382"/>
      <c r="AA92" s="1359" t="s">
        <v>815</v>
      </c>
      <c r="AB92" s="1359"/>
      <c r="AC92" s="1359"/>
      <c r="AD92" s="1359"/>
      <c r="AE92" s="1359"/>
      <c r="AF92" s="1359"/>
      <c r="AG92" s="1359"/>
      <c r="AH92" s="1359"/>
      <c r="AI92" s="1359"/>
      <c r="AJ92" s="1407" t="str">
        <f>IF('Work Scope'!M11="","",'Work Scope'!M11)</f>
        <v/>
      </c>
      <c r="AK92" s="1408"/>
      <c r="AL92" s="346"/>
    </row>
    <row r="93" spans="2:45" x14ac:dyDescent="0.25">
      <c r="B93" s="342"/>
      <c r="C93" s="1403" t="s">
        <v>917</v>
      </c>
      <c r="D93" s="1403"/>
      <c r="E93" s="1403"/>
      <c r="F93" s="1403"/>
      <c r="G93" s="1403"/>
      <c r="H93" s="1403"/>
      <c r="I93" s="1403"/>
      <c r="J93" s="1403"/>
      <c r="K93" s="1404">
        <v>50</v>
      </c>
      <c r="L93" s="1404"/>
      <c r="M93" s="1404"/>
      <c r="N93" s="1405"/>
      <c r="O93" s="1405"/>
      <c r="P93" s="1405"/>
      <c r="Q93" s="1404" t="str">
        <f>IF(N93="","",(IF(N93&gt;K93,0,K93-N93)))</f>
        <v/>
      </c>
      <c r="R93" s="1404"/>
      <c r="S93" s="1404"/>
      <c r="T93" s="1406"/>
      <c r="U93" s="1406"/>
      <c r="V93" s="1406"/>
      <c r="W93" s="1404" t="str">
        <f>IFERROR(IF(T93="",Q93,(IF(T93="Y",IF((Q93-20)&gt;0, (Q93-20),0),Q93))),"")</f>
        <v/>
      </c>
      <c r="X93" s="1404"/>
      <c r="Y93" s="1404"/>
      <c r="AL93" s="343"/>
    </row>
    <row r="94" spans="2:45" x14ac:dyDescent="0.25">
      <c r="B94" s="342"/>
      <c r="C94" s="1403" t="s">
        <v>919</v>
      </c>
      <c r="D94" s="1403"/>
      <c r="E94" s="1403"/>
      <c r="F94" s="1403"/>
      <c r="G94" s="1403"/>
      <c r="H94" s="1403"/>
      <c r="I94" s="1403"/>
      <c r="J94" s="1403"/>
      <c r="K94" s="1404">
        <v>50</v>
      </c>
      <c r="L94" s="1404"/>
      <c r="M94" s="1404"/>
      <c r="N94" s="1405"/>
      <c r="O94" s="1405"/>
      <c r="P94" s="1405"/>
      <c r="Q94" s="1404" t="str">
        <f t="shared" ref="Q94:Q96" si="2">IF(N94="","",(IF(N94&gt;K94,0,K94-N94)))</f>
        <v/>
      </c>
      <c r="R94" s="1404"/>
      <c r="S94" s="1404"/>
      <c r="T94" s="1406"/>
      <c r="U94" s="1406"/>
      <c r="V94" s="1406"/>
      <c r="W94" s="1404" t="str">
        <f t="shared" ref="W94:W96" si="3">IFERROR(IF(T94="",Q94,(IF(T94="Y",IF((Q94-20)&gt;0, (Q94-20),0),Q94))),"")</f>
        <v/>
      </c>
      <c r="X94" s="1404"/>
      <c r="Y94" s="1404"/>
      <c r="AA94" s="1409" t="s">
        <v>940</v>
      </c>
      <c r="AB94" s="1410"/>
      <c r="AC94" s="1410"/>
      <c r="AD94" s="1410"/>
      <c r="AE94" s="1410"/>
      <c r="AF94" s="1410"/>
      <c r="AG94" s="1410"/>
      <c r="AH94" s="1410"/>
      <c r="AI94" s="1410"/>
      <c r="AJ94" s="1410"/>
      <c r="AK94" s="1411"/>
      <c r="AL94" s="343"/>
      <c r="AP94" s="397" t="s">
        <v>1437</v>
      </c>
    </row>
    <row r="95" spans="2:45" x14ac:dyDescent="0.25">
      <c r="B95" s="342"/>
      <c r="C95" s="1403" t="s">
        <v>921</v>
      </c>
      <c r="D95" s="1403"/>
      <c r="E95" s="1403"/>
      <c r="F95" s="1403"/>
      <c r="G95" s="1403"/>
      <c r="H95" s="1403"/>
      <c r="I95" s="1403"/>
      <c r="J95" s="1403"/>
      <c r="K95" s="1404">
        <v>50</v>
      </c>
      <c r="L95" s="1404"/>
      <c r="M95" s="1404"/>
      <c r="N95" s="1405"/>
      <c r="O95" s="1405"/>
      <c r="P95" s="1405"/>
      <c r="Q95" s="1404" t="str">
        <f t="shared" si="2"/>
        <v/>
      </c>
      <c r="R95" s="1404"/>
      <c r="S95" s="1404"/>
      <c r="T95" s="1406"/>
      <c r="U95" s="1406"/>
      <c r="V95" s="1406"/>
      <c r="W95" s="1404" t="str">
        <f t="shared" si="3"/>
        <v/>
      </c>
      <c r="X95" s="1404"/>
      <c r="Y95" s="1404"/>
      <c r="AA95" s="1435"/>
      <c r="AB95" s="1436"/>
      <c r="AC95" s="1436"/>
      <c r="AD95" s="1436"/>
      <c r="AE95" s="1436"/>
      <c r="AF95" s="1436"/>
      <c r="AG95" s="1436"/>
      <c r="AH95" s="1436"/>
      <c r="AI95" s="1436"/>
      <c r="AJ95" s="1436"/>
      <c r="AK95" s="1437"/>
      <c r="AL95" s="343"/>
      <c r="AS95" s="193"/>
    </row>
    <row r="96" spans="2:45" x14ac:dyDescent="0.25">
      <c r="B96" s="342"/>
      <c r="C96" s="1403" t="s">
        <v>923</v>
      </c>
      <c r="D96" s="1403"/>
      <c r="E96" s="1403"/>
      <c r="F96" s="1403"/>
      <c r="G96" s="1403"/>
      <c r="H96" s="1403"/>
      <c r="I96" s="1403"/>
      <c r="J96" s="1403"/>
      <c r="K96" s="1404">
        <v>50</v>
      </c>
      <c r="L96" s="1404"/>
      <c r="M96" s="1404"/>
      <c r="N96" s="1405"/>
      <c r="O96" s="1405"/>
      <c r="P96" s="1405"/>
      <c r="Q96" s="1404" t="str">
        <f t="shared" si="2"/>
        <v/>
      </c>
      <c r="R96" s="1404"/>
      <c r="S96" s="1404"/>
      <c r="T96" s="1406"/>
      <c r="U96" s="1406"/>
      <c r="V96" s="1406"/>
      <c r="W96" s="1404" t="str">
        <f t="shared" si="3"/>
        <v/>
      </c>
      <c r="X96" s="1404"/>
      <c r="Y96" s="1404"/>
      <c r="AA96" s="1582" t="s">
        <v>941</v>
      </c>
      <c r="AB96" s="1582"/>
      <c r="AC96" s="1582"/>
      <c r="AD96" s="1582"/>
      <c r="AE96" s="1582"/>
      <c r="AF96" s="1582"/>
      <c r="AG96" s="1582"/>
      <c r="AH96" s="1582"/>
      <c r="AI96" s="1582"/>
      <c r="AJ96" s="1582"/>
      <c r="AK96" s="1582"/>
      <c r="AL96" s="343"/>
    </row>
    <row r="97" spans="2:38" x14ac:dyDescent="0.25">
      <c r="B97" s="342"/>
      <c r="C97" s="1403" t="s">
        <v>925</v>
      </c>
      <c r="D97" s="1403"/>
      <c r="E97" s="1403"/>
      <c r="F97" s="1403"/>
      <c r="G97" s="1403"/>
      <c r="H97" s="1403"/>
      <c r="I97" s="1403"/>
      <c r="J97" s="1403"/>
      <c r="K97" s="1404">
        <v>0</v>
      </c>
      <c r="L97" s="1404"/>
      <c r="M97" s="1404"/>
      <c r="N97" s="1405"/>
      <c r="O97" s="1405"/>
      <c r="P97" s="1405"/>
      <c r="Q97" s="1404">
        <v>0</v>
      </c>
      <c r="R97" s="1404"/>
      <c r="S97" s="1404"/>
      <c r="T97" s="1438" t="s">
        <v>407</v>
      </c>
      <c r="U97" s="1438"/>
      <c r="V97" s="1438"/>
      <c r="W97" s="1404">
        <v>0</v>
      </c>
      <c r="X97" s="1404"/>
      <c r="Y97" s="1404"/>
      <c r="AA97" s="347"/>
      <c r="AB97" s="1412" t="s">
        <v>942</v>
      </c>
      <c r="AC97" s="1359"/>
      <c r="AD97" s="1359"/>
      <c r="AE97" s="1359"/>
      <c r="AF97" s="1359"/>
      <c r="AG97" s="1359"/>
      <c r="AH97" s="1359"/>
      <c r="AI97" s="1413"/>
      <c r="AJ97" s="1414"/>
      <c r="AK97" s="1415"/>
      <c r="AL97" s="343"/>
    </row>
    <row r="98" spans="2:38" x14ac:dyDescent="0.25">
      <c r="B98" s="342"/>
      <c r="C98" s="1403" t="s">
        <v>927</v>
      </c>
      <c r="D98" s="1403"/>
      <c r="E98" s="1403"/>
      <c r="F98" s="1403"/>
      <c r="G98" s="1403"/>
      <c r="H98" s="1403"/>
      <c r="I98" s="1403"/>
      <c r="J98" s="1403"/>
      <c r="K98" s="1404">
        <v>100</v>
      </c>
      <c r="L98" s="1404"/>
      <c r="M98" s="1404"/>
      <c r="N98" s="1405">
        <v>0</v>
      </c>
      <c r="O98" s="1405"/>
      <c r="P98" s="1405"/>
      <c r="Q98" s="1404">
        <f t="shared" ref="Q98:Q99" si="4">IF(N98="","",(IF(N98&gt;K98,0,K98-N98)))</f>
        <v>100</v>
      </c>
      <c r="R98" s="1404"/>
      <c r="S98" s="1404"/>
      <c r="T98" s="1406"/>
      <c r="U98" s="1406"/>
      <c r="V98" s="1406"/>
      <c r="W98" s="1404">
        <f t="shared" ref="W98:W99" si="5">IFERROR(IF(T98="",Q98,(IF(T98="Y",IF((Q98-20)&gt;0, (Q98-20),0),Q98))),"")</f>
        <v>100</v>
      </c>
      <c r="X98" s="1404"/>
      <c r="Y98" s="1404"/>
      <c r="AB98" s="1444"/>
      <c r="AC98" s="1444"/>
      <c r="AD98" s="1444"/>
      <c r="AE98" s="1444"/>
      <c r="AF98" s="1444"/>
      <c r="AG98" s="1444"/>
      <c r="AH98" s="1444"/>
      <c r="AI98" s="1444"/>
      <c r="AJ98" s="1387"/>
      <c r="AK98" s="1387"/>
      <c r="AL98" s="343"/>
    </row>
    <row r="99" spans="2:38" x14ac:dyDescent="0.25">
      <c r="B99" s="342"/>
      <c r="C99" s="1403" t="s">
        <v>929</v>
      </c>
      <c r="D99" s="1403"/>
      <c r="E99" s="1403"/>
      <c r="F99" s="1403"/>
      <c r="G99" s="1403"/>
      <c r="H99" s="1403"/>
      <c r="I99" s="1403"/>
      <c r="J99" s="1403"/>
      <c r="K99" s="1404">
        <v>100</v>
      </c>
      <c r="L99" s="1404"/>
      <c r="M99" s="1404"/>
      <c r="N99" s="1405"/>
      <c r="O99" s="1405"/>
      <c r="P99" s="1405"/>
      <c r="Q99" s="1404" t="str">
        <f t="shared" si="4"/>
        <v/>
      </c>
      <c r="R99" s="1404"/>
      <c r="S99" s="1404"/>
      <c r="T99" s="1406"/>
      <c r="U99" s="1406"/>
      <c r="V99" s="1406"/>
      <c r="W99" s="1404" t="str">
        <f t="shared" si="5"/>
        <v/>
      </c>
      <c r="X99" s="1404"/>
      <c r="Y99" s="1404"/>
      <c r="AA99" s="347"/>
      <c r="AB99" s="1432" t="s">
        <v>943</v>
      </c>
      <c r="AC99" s="1433"/>
      <c r="AD99" s="1433"/>
      <c r="AE99" s="1433"/>
      <c r="AF99" s="1433"/>
      <c r="AG99" s="1433"/>
      <c r="AH99" s="1433"/>
      <c r="AI99" s="1434"/>
      <c r="AJ99" s="1414"/>
      <c r="AK99" s="1415"/>
      <c r="AL99" s="343"/>
    </row>
    <row r="100" spans="2:38" ht="3" customHeight="1" x14ac:dyDescent="0.25">
      <c r="B100" s="342"/>
      <c r="C100" s="333"/>
      <c r="D100" s="333"/>
      <c r="E100" s="333"/>
      <c r="F100" s="333"/>
      <c r="G100" s="333"/>
      <c r="H100" s="333"/>
      <c r="I100" s="333"/>
      <c r="J100" s="333"/>
      <c r="K100" s="331"/>
      <c r="L100" s="331"/>
      <c r="M100" s="331"/>
      <c r="N100" s="3"/>
      <c r="O100" s="3"/>
      <c r="P100" s="3"/>
      <c r="Q100" s="3"/>
      <c r="R100" s="3"/>
      <c r="S100" s="3"/>
      <c r="T100" s="3"/>
      <c r="U100" s="3"/>
      <c r="V100" s="3"/>
      <c r="W100" s="3"/>
      <c r="X100" s="3"/>
      <c r="Y100" s="3"/>
      <c r="AL100" s="343"/>
    </row>
    <row r="101" spans="2:38" x14ac:dyDescent="0.25">
      <c r="B101" s="345"/>
      <c r="C101" s="1"/>
      <c r="D101" s="1"/>
      <c r="E101" s="1"/>
      <c r="F101" s="1"/>
      <c r="G101" s="1"/>
      <c r="H101" s="1"/>
      <c r="I101" s="1"/>
      <c r="J101" s="1"/>
      <c r="M101" s="1"/>
      <c r="N101" s="1"/>
      <c r="O101" s="1"/>
      <c r="P101" s="1"/>
      <c r="Q101" s="2"/>
      <c r="R101" s="1361" t="s">
        <v>930</v>
      </c>
      <c r="S101" s="1361"/>
      <c r="T101" s="1361"/>
      <c r="U101" s="1361"/>
      <c r="V101" s="1361"/>
      <c r="W101" s="1439">
        <f>IF(COUNT(W93:Y96)+COUNT(W98:Y99)=0,"",SUM(W93:Y99))</f>
        <v>100</v>
      </c>
      <c r="X101" s="1440"/>
      <c r="Y101" s="1441"/>
      <c r="Z101" s="1430" t="s">
        <v>944</v>
      </c>
      <c r="AA101" s="1190"/>
      <c r="AB101" s="1190"/>
      <c r="AC101" s="1190"/>
      <c r="AD101" s="1190"/>
      <c r="AE101" s="1190"/>
      <c r="AF101" s="1190"/>
      <c r="AG101" s="1190"/>
      <c r="AH101" s="1190"/>
      <c r="AI101" s="1431"/>
      <c r="AJ101" s="1414"/>
      <c r="AK101" s="1415"/>
      <c r="AL101" s="343"/>
    </row>
    <row r="102" spans="2:38" ht="3" customHeight="1" x14ac:dyDescent="0.25">
      <c r="B102" s="345"/>
      <c r="C102" s="1"/>
      <c r="D102" s="1"/>
      <c r="E102" s="1"/>
      <c r="F102" s="1"/>
      <c r="G102" s="1"/>
      <c r="H102" s="1"/>
      <c r="I102" s="1"/>
      <c r="J102" s="1"/>
      <c r="M102" s="1"/>
      <c r="N102" s="1"/>
      <c r="O102" s="1"/>
      <c r="P102" s="1"/>
      <c r="R102" s="305"/>
      <c r="S102" s="305"/>
      <c r="T102" s="305"/>
      <c r="U102" s="305"/>
      <c r="V102" s="305"/>
      <c r="W102" s="6"/>
      <c r="X102" s="6"/>
      <c r="Y102" s="6"/>
      <c r="AA102" s="384"/>
      <c r="AB102" s="384"/>
      <c r="AC102" s="384"/>
      <c r="AD102" s="384"/>
      <c r="AE102" s="384"/>
      <c r="AF102" s="384"/>
      <c r="AG102" s="384"/>
      <c r="AH102" s="384"/>
      <c r="AI102" s="384"/>
      <c r="AJ102" s="384"/>
      <c r="AK102" s="384"/>
      <c r="AL102" s="343"/>
    </row>
    <row r="103" spans="2:38" ht="12" customHeight="1" x14ac:dyDescent="0.25">
      <c r="B103" s="1416" t="s">
        <v>838</v>
      </c>
      <c r="C103" s="1361"/>
      <c r="D103" s="1361"/>
      <c r="E103" s="1361"/>
      <c r="F103" s="1361"/>
      <c r="G103" s="1361"/>
      <c r="H103" s="1361"/>
      <c r="I103" s="1361"/>
      <c r="J103" s="1361"/>
      <c r="K103" s="1442" t="str">
        <f>IF(K52="","",K52)</f>
        <v/>
      </c>
      <c r="L103" s="1443"/>
      <c r="M103" s="1420" t="s">
        <v>931</v>
      </c>
      <c r="N103" s="1361"/>
      <c r="O103" s="1361"/>
      <c r="P103" s="1361"/>
      <c r="Q103" s="1417"/>
      <c r="R103" s="1442" t="str">
        <f>IF(R52="","",R52)</f>
        <v/>
      </c>
      <c r="S103" s="1443"/>
      <c r="T103" s="305"/>
      <c r="W103" s="6"/>
      <c r="X103" s="6"/>
      <c r="Y103" s="6"/>
      <c r="AA103" s="1572" t="s">
        <v>997</v>
      </c>
      <c r="AB103" s="1573"/>
      <c r="AC103" s="1573"/>
      <c r="AD103" s="1573"/>
      <c r="AE103" s="1573"/>
      <c r="AF103" s="1573"/>
      <c r="AG103" s="1573"/>
      <c r="AH103" s="1573"/>
      <c r="AI103" s="1573"/>
      <c r="AJ103" s="1573"/>
      <c r="AK103" s="1574"/>
      <c r="AL103" s="343"/>
    </row>
    <row r="104" spans="2:38" ht="3" customHeight="1" x14ac:dyDescent="0.25">
      <c r="B104" s="345"/>
      <c r="C104" s="1"/>
      <c r="D104" s="1"/>
      <c r="E104" s="1"/>
      <c r="F104" s="1"/>
      <c r="G104" s="1"/>
      <c r="H104" s="1"/>
      <c r="I104" s="1"/>
      <c r="J104" s="1"/>
      <c r="M104" s="1"/>
      <c r="N104" s="1"/>
      <c r="O104" s="1"/>
      <c r="P104" s="1"/>
      <c r="S104" s="193"/>
      <c r="T104" s="193"/>
      <c r="U104" s="305"/>
      <c r="V104" s="305"/>
      <c r="W104" s="6"/>
      <c r="X104" s="6"/>
      <c r="Y104" s="6"/>
      <c r="AA104" s="1575"/>
      <c r="AB104" s="1398"/>
      <c r="AC104" s="1398"/>
      <c r="AD104" s="1398"/>
      <c r="AE104" s="1398"/>
      <c r="AF104" s="1398"/>
      <c r="AG104" s="1398"/>
      <c r="AH104" s="1398"/>
      <c r="AI104" s="1398"/>
      <c r="AJ104" s="1398"/>
      <c r="AK104" s="1576"/>
      <c r="AL104" s="343"/>
    </row>
    <row r="105" spans="2:38" ht="12" customHeight="1" x14ac:dyDescent="0.25">
      <c r="B105" s="1416" t="s">
        <v>932</v>
      </c>
      <c r="C105" s="1361"/>
      <c r="D105" s="1361"/>
      <c r="E105" s="1361"/>
      <c r="F105" s="1361"/>
      <c r="G105" s="1361"/>
      <c r="H105" s="1361"/>
      <c r="I105" s="1361"/>
      <c r="J105" s="1361"/>
      <c r="K105" s="1361"/>
      <c r="L105" s="1361"/>
      <c r="M105" s="1361"/>
      <c r="N105" s="1361"/>
      <c r="O105" s="1361"/>
      <c r="P105" s="1361"/>
      <c r="Q105" s="1361"/>
      <c r="R105" s="1361"/>
      <c r="S105" s="1361"/>
      <c r="T105" s="1361"/>
      <c r="U105" s="1361"/>
      <c r="V105" s="1361"/>
      <c r="W105" s="1417"/>
      <c r="X105" s="1418" t="str">
        <f>IF($L$12="","",IF($Y$12="","",(0.03*$L$12+(7.5*($Y$12+1)))))</f>
        <v/>
      </c>
      <c r="Y105" s="1419"/>
      <c r="AA105" s="1575"/>
      <c r="AB105" s="1398"/>
      <c r="AC105" s="1398"/>
      <c r="AD105" s="1398"/>
      <c r="AE105" s="1398"/>
      <c r="AF105" s="1398"/>
      <c r="AG105" s="1398"/>
      <c r="AH105" s="1398"/>
      <c r="AI105" s="1398"/>
      <c r="AJ105" s="1398"/>
      <c r="AK105" s="1576"/>
      <c r="AL105" s="343"/>
    </row>
    <row r="106" spans="2:38" ht="3" customHeight="1" x14ac:dyDescent="0.25">
      <c r="B106" s="342"/>
      <c r="O106" s="2"/>
      <c r="W106" s="332"/>
      <c r="X106" s="331"/>
      <c r="Y106" s="331"/>
      <c r="AA106" s="1575"/>
      <c r="AB106" s="1398"/>
      <c r="AC106" s="1398"/>
      <c r="AD106" s="1398"/>
      <c r="AE106" s="1398"/>
      <c r="AF106" s="1398"/>
      <c r="AG106" s="1398"/>
      <c r="AH106" s="1398"/>
      <c r="AI106" s="1398"/>
      <c r="AJ106" s="1398"/>
      <c r="AK106" s="1576"/>
      <c r="AL106" s="343"/>
    </row>
    <row r="107" spans="2:38" ht="12" customHeight="1" x14ac:dyDescent="0.25">
      <c r="B107" s="1416" t="s">
        <v>841</v>
      </c>
      <c r="C107" s="1361"/>
      <c r="D107" s="1361"/>
      <c r="E107" s="1361"/>
      <c r="F107" s="1361"/>
      <c r="G107" s="1361"/>
      <c r="H107" s="1361"/>
      <c r="I107" s="1361"/>
      <c r="J107" s="1361"/>
      <c r="K107" s="1361"/>
      <c r="L107" s="1361"/>
      <c r="M107" s="1361"/>
      <c r="N107" s="1361"/>
      <c r="O107" s="1361"/>
      <c r="P107" s="1361"/>
      <c r="Q107" s="1361"/>
      <c r="R107" s="1361"/>
      <c r="S107" s="1361"/>
      <c r="T107" s="1361"/>
      <c r="U107" s="1361"/>
      <c r="V107" s="1361"/>
      <c r="W107" s="1417"/>
      <c r="X107" s="1418">
        <f>IF(W101="","",IF(W101&gt;0,W101/4,""))</f>
        <v>25</v>
      </c>
      <c r="Y107" s="1419"/>
      <c r="AA107" s="1577"/>
      <c r="AB107" s="1401"/>
      <c r="AC107" s="1401"/>
      <c r="AD107" s="1401"/>
      <c r="AE107" s="1401"/>
      <c r="AF107" s="1401"/>
      <c r="AG107" s="1401"/>
      <c r="AH107" s="1401"/>
      <c r="AI107" s="1401"/>
      <c r="AJ107" s="1401"/>
      <c r="AK107" s="1578"/>
      <c r="AL107" s="343"/>
    </row>
    <row r="108" spans="2:38" ht="3" customHeight="1" x14ac:dyDescent="0.25">
      <c r="B108" s="342"/>
      <c r="W108" s="332"/>
      <c r="X108" s="331"/>
      <c r="Y108" s="331"/>
      <c r="AA108" s="1447"/>
      <c r="AB108" s="1447"/>
      <c r="AC108" s="1447"/>
      <c r="AD108" s="1447"/>
      <c r="AE108" s="1447"/>
      <c r="AF108" s="1447"/>
      <c r="AG108" s="1447"/>
      <c r="AH108" s="1447"/>
      <c r="AI108" s="1447"/>
      <c r="AJ108" s="1447"/>
      <c r="AK108" s="1447"/>
      <c r="AL108" s="343"/>
    </row>
    <row r="109" spans="2:38" ht="12" customHeight="1" x14ac:dyDescent="0.25">
      <c r="B109" s="1416" t="s">
        <v>933</v>
      </c>
      <c r="C109" s="1361"/>
      <c r="D109" s="1361"/>
      <c r="E109" s="1361"/>
      <c r="F109" s="1361"/>
      <c r="G109" s="1361"/>
      <c r="H109" s="1361"/>
      <c r="I109" s="1361"/>
      <c r="J109" s="1361"/>
      <c r="K109" s="1361"/>
      <c r="L109" s="1361"/>
      <c r="M109" s="1361"/>
      <c r="N109" s="1361"/>
      <c r="O109" s="1361"/>
      <c r="P109" s="1361"/>
      <c r="Q109" s="1361"/>
      <c r="R109" s="1361"/>
      <c r="S109" s="1361"/>
      <c r="T109" s="1361"/>
      <c r="U109" s="1361"/>
      <c r="V109" s="1361"/>
      <c r="W109" s="1417"/>
      <c r="X109" s="1418" t="str">
        <f>IF(X105="","",IF(X107="",X105,X105+X107))</f>
        <v/>
      </c>
      <c r="Y109" s="1419"/>
      <c r="AA109" s="1579" t="s">
        <v>934</v>
      </c>
      <c r="AB109" s="1579"/>
      <c r="AC109" s="1579"/>
      <c r="AD109" s="1579"/>
      <c r="AE109" s="1579"/>
      <c r="AF109" s="1579"/>
      <c r="AG109" s="1579"/>
      <c r="AH109" s="1579"/>
      <c r="AI109" s="1579"/>
      <c r="AJ109" s="1579"/>
      <c r="AK109" s="1579"/>
      <c r="AL109" s="343"/>
    </row>
    <row r="110" spans="2:38" ht="3" customHeight="1" x14ac:dyDescent="0.25">
      <c r="B110" s="342"/>
      <c r="W110" s="332"/>
      <c r="X110" s="331"/>
      <c r="Y110" s="331"/>
      <c r="AL110" s="343"/>
    </row>
    <row r="111" spans="2:38" ht="12" customHeight="1" x14ac:dyDescent="0.25">
      <c r="B111" s="1416" t="s">
        <v>844</v>
      </c>
      <c r="C111" s="1361"/>
      <c r="D111" s="1361"/>
      <c r="E111" s="1361"/>
      <c r="F111" s="1361"/>
      <c r="G111" s="1361"/>
      <c r="H111" s="1361"/>
      <c r="I111" s="1361"/>
      <c r="J111" s="1361"/>
      <c r="K111" s="1361"/>
      <c r="L111" s="1361"/>
      <c r="M111" s="1361"/>
      <c r="N111" s="1361"/>
      <c r="O111" s="1361"/>
      <c r="P111" s="1361"/>
      <c r="Q111" s="1361"/>
      <c r="R111" s="1361"/>
      <c r="S111" s="1361"/>
      <c r="T111" s="1361"/>
      <c r="U111" s="1361"/>
      <c r="V111" s="1361"/>
      <c r="W111" s="1417"/>
      <c r="X111" s="1418" t="str">
        <f>IF(AJ92="","",IF(R103="","",IF(K103="","",0.052*AJ92*K103*R103)))</f>
        <v/>
      </c>
      <c r="Y111" s="1419"/>
      <c r="AA111" s="1361" t="s">
        <v>935</v>
      </c>
      <c r="AB111" s="1361"/>
      <c r="AC111" s="1361"/>
      <c r="AD111" s="1361"/>
      <c r="AE111" s="1414"/>
      <c r="AF111" s="1415"/>
      <c r="AG111" s="1387" t="s">
        <v>936</v>
      </c>
      <c r="AH111" s="1387"/>
      <c r="AI111" s="1387"/>
      <c r="AJ111" s="1387"/>
      <c r="AK111" s="347"/>
      <c r="AL111" s="343"/>
    </row>
    <row r="112" spans="2:38" ht="3" customHeight="1" x14ac:dyDescent="0.25">
      <c r="B112" s="342"/>
      <c r="W112" s="332"/>
      <c r="X112" s="331"/>
      <c r="Y112" s="331"/>
      <c r="AA112" s="193"/>
      <c r="AB112" s="193"/>
      <c r="AC112" s="193"/>
      <c r="AD112" s="193"/>
      <c r="AE112" s="193"/>
      <c r="AF112" s="193"/>
      <c r="AG112" s="193"/>
      <c r="AH112" s="193"/>
      <c r="AI112" s="193"/>
      <c r="AJ112" s="193"/>
      <c r="AK112" s="193"/>
      <c r="AL112" s="343"/>
    </row>
    <row r="113" spans="2:38" ht="12" customHeight="1" x14ac:dyDescent="0.25">
      <c r="B113" s="1416" t="s">
        <v>845</v>
      </c>
      <c r="C113" s="1361"/>
      <c r="D113" s="1361"/>
      <c r="E113" s="1361"/>
      <c r="F113" s="1361"/>
      <c r="G113" s="1361"/>
      <c r="H113" s="1361"/>
      <c r="I113" s="1361"/>
      <c r="J113" s="1361"/>
      <c r="K113" s="1361"/>
      <c r="L113" s="1361"/>
      <c r="M113" s="1361"/>
      <c r="N113" s="1361"/>
      <c r="O113" s="1361"/>
      <c r="P113" s="1361"/>
      <c r="Q113" s="1361"/>
      <c r="R113" s="1361"/>
      <c r="S113" s="1361"/>
      <c r="T113" s="1361"/>
      <c r="U113" s="1361"/>
      <c r="V113" s="1361"/>
      <c r="W113" s="1417"/>
      <c r="X113" s="1418" t="str">
        <f>IF(X109="","",IF(X111="","",X109-X111))</f>
        <v/>
      </c>
      <c r="Y113" s="1419"/>
      <c r="AA113" s="1361" t="s">
        <v>937</v>
      </c>
      <c r="AB113" s="1361"/>
      <c r="AC113" s="1361"/>
      <c r="AD113" s="1361"/>
      <c r="AE113" s="1414"/>
      <c r="AF113" s="1415"/>
      <c r="AG113" s="1361" t="s">
        <v>938</v>
      </c>
      <c r="AH113" s="1361"/>
      <c r="AI113" s="1361"/>
      <c r="AJ113" s="1361"/>
      <c r="AK113" s="347"/>
      <c r="AL113" s="343"/>
    </row>
    <row r="114" spans="2:38" ht="15" customHeight="1" thickBot="1" x14ac:dyDescent="0.3">
      <c r="B114" s="381"/>
      <c r="C114" s="382" t="s">
        <v>991</v>
      </c>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85"/>
      <c r="AF114" s="385"/>
      <c r="AG114" s="386"/>
      <c r="AH114" s="386"/>
      <c r="AI114" s="386"/>
      <c r="AJ114" s="386"/>
      <c r="AK114" s="385"/>
      <c r="AL114" s="349"/>
    </row>
    <row r="115" spans="2:38" ht="3" customHeight="1" x14ac:dyDescent="0.25">
      <c r="AA115" s="333"/>
      <c r="AB115" s="333"/>
      <c r="AC115" s="333"/>
      <c r="AD115" s="333"/>
      <c r="AE115" s="383"/>
      <c r="AF115" s="383"/>
      <c r="AG115" s="332"/>
      <c r="AH115" s="332"/>
      <c r="AI115" s="332"/>
      <c r="AJ115" s="332"/>
      <c r="AK115" s="383"/>
    </row>
    <row r="116" spans="2:38" ht="3" customHeight="1" x14ac:dyDescent="0.25">
      <c r="B116" s="1445"/>
      <c r="C116" s="1371"/>
      <c r="D116" s="1371"/>
      <c r="E116" s="1371"/>
      <c r="F116" s="1371"/>
      <c r="G116" s="1371"/>
      <c r="H116" s="1371"/>
      <c r="I116" s="1371"/>
      <c r="J116" s="1371"/>
      <c r="K116" s="1371"/>
      <c r="L116" s="1371"/>
      <c r="M116" s="1371"/>
      <c r="N116" s="1371"/>
      <c r="O116" s="1371"/>
      <c r="P116" s="1371"/>
      <c r="Q116" s="1371"/>
      <c r="R116" s="1371"/>
      <c r="S116" s="1371"/>
      <c r="T116" s="1371"/>
      <c r="U116" s="1371"/>
      <c r="V116" s="1371"/>
      <c r="W116" s="1371"/>
      <c r="X116" s="1371"/>
      <c r="Y116" s="1371"/>
      <c r="Z116" s="1371"/>
      <c r="AA116" s="1371"/>
      <c r="AB116" s="1371"/>
      <c r="AC116" s="1371"/>
      <c r="AD116" s="1371"/>
      <c r="AE116" s="1371"/>
      <c r="AF116" s="1371"/>
      <c r="AG116" s="1371"/>
      <c r="AH116" s="1371"/>
      <c r="AI116" s="1371"/>
      <c r="AJ116" s="1371"/>
      <c r="AK116" s="1371"/>
      <c r="AL116" s="1446"/>
    </row>
    <row r="117" spans="2:38" ht="15.75" x14ac:dyDescent="0.25">
      <c r="B117" s="1445" t="s">
        <v>945</v>
      </c>
      <c r="C117" s="1371"/>
      <c r="D117" s="1371"/>
      <c r="E117" s="1371"/>
      <c r="F117" s="1371"/>
      <c r="G117" s="1371"/>
      <c r="H117" s="1371"/>
      <c r="I117" s="1371"/>
      <c r="J117" s="1371"/>
      <c r="K117" s="1371"/>
      <c r="L117" s="1371"/>
      <c r="M117" s="1371"/>
      <c r="N117" s="1371"/>
      <c r="O117" s="1371"/>
      <c r="P117" s="1371"/>
      <c r="Q117" s="1371"/>
      <c r="R117" s="1371"/>
      <c r="S117" s="1371"/>
      <c r="T117" s="1371"/>
      <c r="U117" s="1371"/>
      <c r="V117" s="1371"/>
      <c r="W117" s="1371"/>
      <c r="X117" s="1371"/>
      <c r="Y117" s="1371"/>
      <c r="Z117" s="1371"/>
      <c r="AA117" s="1371"/>
      <c r="AB117" s="1371"/>
      <c r="AC117" s="1371"/>
      <c r="AD117" s="1371"/>
      <c r="AE117" s="1371"/>
      <c r="AF117" s="1371"/>
      <c r="AG117" s="1371"/>
      <c r="AH117" s="1371"/>
      <c r="AI117" s="1371"/>
      <c r="AJ117" s="1371"/>
      <c r="AK117" s="1371"/>
      <c r="AL117" s="1446"/>
    </row>
    <row r="118" spans="2:38" ht="3" customHeight="1" x14ac:dyDescent="0.25">
      <c r="B118" s="1463"/>
      <c r="C118" s="1464"/>
      <c r="D118" s="1464"/>
      <c r="E118" s="1464"/>
      <c r="F118" s="1464"/>
      <c r="G118" s="1464"/>
      <c r="H118" s="1464"/>
      <c r="I118" s="1464"/>
      <c r="J118" s="1464"/>
      <c r="K118" s="1464"/>
      <c r="L118" s="1464"/>
      <c r="M118" s="1464"/>
      <c r="N118" s="1464"/>
      <c r="O118" s="1464"/>
      <c r="P118" s="1464"/>
      <c r="Q118" s="1464"/>
      <c r="R118" s="1464"/>
      <c r="S118" s="1464"/>
      <c r="T118" s="1464"/>
      <c r="U118" s="1464"/>
      <c r="V118" s="1464"/>
      <c r="W118" s="1464"/>
      <c r="X118" s="1464"/>
      <c r="Y118" s="1464"/>
      <c r="Z118" s="1464"/>
      <c r="AA118" s="1464"/>
      <c r="AB118" s="1464"/>
      <c r="AC118" s="1464"/>
      <c r="AD118" s="1464"/>
      <c r="AE118" s="1464"/>
      <c r="AF118" s="1464"/>
      <c r="AG118" s="1464"/>
      <c r="AH118" s="1464"/>
      <c r="AI118" s="1464"/>
      <c r="AJ118" s="1464"/>
      <c r="AK118" s="1464"/>
      <c r="AL118" s="1465"/>
    </row>
    <row r="119" spans="2:38" x14ac:dyDescent="0.25">
      <c r="B119" s="1466" t="s">
        <v>762</v>
      </c>
      <c r="C119" s="1467"/>
      <c r="D119" s="1467"/>
      <c r="E119" s="1467"/>
      <c r="F119" s="1467"/>
      <c r="G119" s="1467"/>
      <c r="H119" s="1467"/>
      <c r="I119" s="1467"/>
      <c r="J119" s="1467"/>
      <c r="K119" s="1467"/>
      <c r="L119" s="1467"/>
      <c r="M119" s="1467"/>
      <c r="N119" s="1467"/>
      <c r="O119" s="1467"/>
      <c r="P119" s="1467"/>
      <c r="Q119" s="1467"/>
      <c r="R119" s="1467"/>
      <c r="S119" s="1467"/>
      <c r="T119" s="1467"/>
      <c r="U119" s="1467"/>
      <c r="V119" s="1467"/>
      <c r="W119" s="1467"/>
      <c r="X119" s="1467"/>
      <c r="Y119" s="1467"/>
      <c r="Z119" s="1467"/>
      <c r="AA119" s="1467"/>
      <c r="AB119" s="1467"/>
      <c r="AC119" s="1467"/>
      <c r="AD119" s="1467"/>
      <c r="AE119" s="1467"/>
      <c r="AF119" s="1467"/>
      <c r="AG119" s="1467"/>
      <c r="AH119" s="1467"/>
      <c r="AI119" s="1467"/>
      <c r="AJ119" s="1467"/>
      <c r="AK119" s="1467"/>
      <c r="AL119" s="1468"/>
    </row>
    <row r="120" spans="2:38" x14ac:dyDescent="0.25">
      <c r="B120" s="1412" t="s">
        <v>763</v>
      </c>
      <c r="C120" s="1359"/>
      <c r="D120" s="1359"/>
      <c r="E120" s="1359"/>
      <c r="F120" s="1359"/>
      <c r="G120" s="1359"/>
      <c r="H120" s="1359"/>
      <c r="I120" s="1359"/>
      <c r="J120" s="1359"/>
      <c r="K120" s="1359"/>
      <c r="L120" s="1359"/>
      <c r="M120" s="1359"/>
      <c r="N120" s="1359"/>
      <c r="O120" s="1359"/>
      <c r="P120" s="1359"/>
      <c r="Q120" s="1359"/>
      <c r="R120" s="1359"/>
      <c r="S120" s="1359"/>
      <c r="T120" s="1359"/>
      <c r="U120" s="1359"/>
      <c r="V120" s="1359"/>
      <c r="W120" s="1359"/>
      <c r="X120" s="1359"/>
      <c r="Y120" s="1359"/>
      <c r="Z120" s="1359"/>
      <c r="AA120" s="1359"/>
      <c r="AB120" s="1359"/>
      <c r="AC120" s="1359"/>
      <c r="AD120" s="1359"/>
      <c r="AE120" s="1359"/>
      <c r="AF120" s="1359"/>
      <c r="AG120" s="1359"/>
      <c r="AH120" s="1359"/>
      <c r="AI120" s="1359"/>
      <c r="AJ120" s="1359"/>
      <c r="AK120" s="1359"/>
      <c r="AL120" s="1413"/>
    </row>
    <row r="121" spans="2:38" x14ac:dyDescent="0.25">
      <c r="B121" s="1412" t="s">
        <v>764</v>
      </c>
      <c r="C121" s="1359"/>
      <c r="D121" s="1359"/>
      <c r="E121" s="1359"/>
      <c r="F121" s="1359"/>
      <c r="G121" s="1359"/>
      <c r="H121" s="1359"/>
      <c r="I121" s="1359"/>
      <c r="J121" s="1359"/>
      <c r="K121" s="1359"/>
      <c r="L121" s="1359"/>
      <c r="M121" s="1359"/>
      <c r="N121" s="1359"/>
      <c r="O121" s="1359"/>
      <c r="P121" s="1359"/>
      <c r="Q121" s="1359"/>
      <c r="R121" s="1359"/>
      <c r="S121" s="1359"/>
      <c r="T121" s="1359"/>
      <c r="U121" s="1359"/>
      <c r="V121" s="1359"/>
      <c r="W121" s="1359"/>
      <c r="X121" s="1359"/>
      <c r="Y121" s="1359"/>
      <c r="Z121" s="1359"/>
      <c r="AA121" s="1359"/>
      <c r="AB121" s="1359"/>
      <c r="AC121" s="1359"/>
      <c r="AD121" s="1359"/>
      <c r="AE121" s="1359"/>
      <c r="AF121" s="1359"/>
      <c r="AG121" s="1359"/>
      <c r="AH121" s="1359"/>
      <c r="AI121" s="1359"/>
      <c r="AJ121" s="1359"/>
      <c r="AK121" s="1359"/>
      <c r="AL121" s="1413"/>
    </row>
    <row r="122" spans="2:38" ht="20.100000000000001" customHeight="1" x14ac:dyDescent="0.25">
      <c r="B122" s="1469" t="s">
        <v>765</v>
      </c>
      <c r="C122" s="1186"/>
      <c r="D122" s="1186"/>
      <c r="E122" s="1186"/>
      <c r="F122" s="1186"/>
      <c r="G122" s="1186"/>
      <c r="H122" s="1186"/>
      <c r="I122" s="1186"/>
      <c r="J122" s="1186"/>
      <c r="K122" s="1186"/>
      <c r="L122" s="1186"/>
      <c r="M122" s="1186"/>
      <c r="N122" s="1186"/>
      <c r="O122" s="1186"/>
      <c r="P122" s="1186"/>
      <c r="Q122" s="1186"/>
      <c r="R122" s="1186"/>
      <c r="S122" s="1186"/>
      <c r="T122" s="1186"/>
      <c r="U122" s="1186"/>
      <c r="V122" s="1186"/>
      <c r="W122" s="1186"/>
      <c r="X122" s="1186"/>
      <c r="Y122" s="1186"/>
      <c r="Z122" s="1186"/>
      <c r="AA122" s="1186"/>
      <c r="AB122" s="1186"/>
      <c r="AC122" s="1186"/>
      <c r="AD122" s="1186"/>
      <c r="AE122" s="1186"/>
      <c r="AF122" s="1186"/>
      <c r="AG122" s="1186"/>
      <c r="AH122" s="1186"/>
      <c r="AI122" s="1186"/>
      <c r="AJ122" s="1186"/>
      <c r="AK122" s="1186"/>
      <c r="AL122" s="1470"/>
    </row>
    <row r="123" spans="2:38" x14ac:dyDescent="0.25">
      <c r="B123" s="1412" t="s">
        <v>766</v>
      </c>
      <c r="C123" s="1359"/>
      <c r="D123" s="1359"/>
      <c r="E123" s="1359"/>
      <c r="F123" s="1359"/>
      <c r="G123" s="1359"/>
      <c r="H123" s="1359"/>
      <c r="I123" s="1359"/>
      <c r="J123" s="1359"/>
      <c r="K123" s="1359"/>
      <c r="L123" s="1359"/>
      <c r="M123" s="1359"/>
      <c r="N123" s="1359"/>
      <c r="O123" s="1359"/>
      <c r="P123" s="1359"/>
      <c r="Q123" s="1359"/>
      <c r="R123" s="1359"/>
      <c r="S123" s="1359"/>
      <c r="T123" s="1359"/>
      <c r="U123" s="1359"/>
      <c r="V123" s="1359"/>
      <c r="W123" s="1359"/>
      <c r="X123" s="1359"/>
      <c r="Y123" s="1359"/>
      <c r="Z123" s="1359"/>
      <c r="AA123" s="1359"/>
      <c r="AB123" s="1359"/>
      <c r="AC123" s="1359"/>
      <c r="AD123" s="1359"/>
      <c r="AE123" s="1359"/>
      <c r="AF123" s="1359"/>
      <c r="AG123" s="1359"/>
      <c r="AH123" s="1359"/>
      <c r="AI123" s="1359"/>
      <c r="AJ123" s="1359"/>
      <c r="AK123" s="1359"/>
      <c r="AL123" s="1413"/>
    </row>
    <row r="124" spans="2:38" x14ac:dyDescent="0.25">
      <c r="B124" s="1448" t="s">
        <v>767</v>
      </c>
      <c r="C124" s="1449"/>
      <c r="D124" s="1449"/>
      <c r="E124" s="1449"/>
      <c r="F124" s="1449"/>
      <c r="G124" s="1449"/>
      <c r="H124" s="1449"/>
      <c r="I124" s="1449"/>
      <c r="J124" s="1449"/>
      <c r="K124" s="1449"/>
      <c r="L124" s="1449"/>
      <c r="M124" s="1449"/>
      <c r="N124" s="1449"/>
      <c r="O124" s="1449"/>
      <c r="P124" s="1449"/>
      <c r="Q124" s="1449"/>
      <c r="R124" s="1449"/>
      <c r="S124" s="1449"/>
      <c r="T124" s="1449"/>
      <c r="U124" s="1449"/>
      <c r="V124" s="1449"/>
      <c r="W124" s="1449"/>
      <c r="X124" s="1449"/>
      <c r="Y124" s="1449"/>
      <c r="Z124" s="1449"/>
      <c r="AA124" s="1449"/>
      <c r="AB124" s="1449"/>
      <c r="AC124" s="1449"/>
      <c r="AD124" s="1449"/>
      <c r="AE124" s="1449"/>
      <c r="AF124" s="1449"/>
      <c r="AG124" s="1449"/>
      <c r="AH124" s="1449"/>
      <c r="AI124" s="1449"/>
      <c r="AJ124" s="1449"/>
      <c r="AK124" s="1449"/>
      <c r="AL124" s="1450"/>
    </row>
    <row r="125" spans="2:38" ht="15" customHeight="1" x14ac:dyDescent="0.25">
      <c r="B125" s="1451" t="s">
        <v>683</v>
      </c>
      <c r="C125" s="1452"/>
      <c r="D125" s="1452"/>
      <c r="E125" s="1452"/>
      <c r="F125" s="1452"/>
      <c r="G125" s="1452"/>
      <c r="H125" s="1452"/>
      <c r="I125" s="1452"/>
      <c r="J125" s="1453"/>
      <c r="K125" s="1454" t="s">
        <v>768</v>
      </c>
      <c r="L125" s="1455"/>
      <c r="M125" s="1455"/>
      <c r="N125" s="1455"/>
      <c r="O125" s="1455"/>
      <c r="P125" s="1455"/>
      <c r="Q125" s="1455"/>
      <c r="R125" s="1455"/>
      <c r="S125" s="1455"/>
      <c r="T125" s="1455"/>
      <c r="U125" s="1455"/>
      <c r="V125" s="1455"/>
      <c r="W125" s="1455"/>
      <c r="X125" s="1455"/>
      <c r="Y125" s="1456"/>
      <c r="Z125" s="1457" t="s">
        <v>769</v>
      </c>
      <c r="AA125" s="1458"/>
      <c r="AB125" s="1458"/>
      <c r="AC125" s="1458"/>
      <c r="AD125" s="1458"/>
      <c r="AE125" s="1458"/>
      <c r="AF125" s="1458"/>
      <c r="AG125" s="1459"/>
      <c r="AH125" s="1460" t="s">
        <v>946</v>
      </c>
      <c r="AI125" s="1461"/>
      <c r="AJ125" s="1461"/>
      <c r="AK125" s="1461"/>
      <c r="AL125" s="1462"/>
    </row>
    <row r="126" spans="2:38" ht="15" customHeight="1" x14ac:dyDescent="0.25">
      <c r="B126" s="1477" t="s">
        <v>686</v>
      </c>
      <c r="C126" s="1478"/>
      <c r="D126" s="1478"/>
      <c r="E126" s="1478"/>
      <c r="F126" s="1478"/>
      <c r="G126" s="1478"/>
      <c r="H126" s="1478"/>
      <c r="I126" s="1478"/>
      <c r="J126" s="1479"/>
      <c r="K126" s="350"/>
      <c r="L126" s="351"/>
      <c r="M126" s="352"/>
      <c r="N126" s="352"/>
      <c r="O126" s="352"/>
      <c r="P126" s="352"/>
      <c r="Q126" s="353"/>
      <c r="R126" s="354" t="s">
        <v>771</v>
      </c>
      <c r="S126" s="350" t="s">
        <v>772</v>
      </c>
      <c r="T126" s="353"/>
      <c r="U126" s="353"/>
      <c r="V126" s="353"/>
      <c r="W126" s="353"/>
      <c r="X126" s="353"/>
      <c r="Y126" s="355"/>
      <c r="Z126" s="1480" t="s">
        <v>773</v>
      </c>
      <c r="AA126" s="1481"/>
      <c r="AB126" s="1481"/>
      <c r="AC126" s="1481"/>
      <c r="AD126" s="1481"/>
      <c r="AE126" s="1481"/>
      <c r="AF126" s="1481"/>
      <c r="AG126" s="1482"/>
      <c r="AH126" s="1483" t="s">
        <v>947</v>
      </c>
      <c r="AI126" s="1484"/>
      <c r="AJ126" s="1484"/>
      <c r="AK126" s="1484"/>
      <c r="AL126" s="1485"/>
    </row>
    <row r="127" spans="2:38" ht="15" customHeight="1" x14ac:dyDescent="0.25">
      <c r="B127" s="1477" t="s">
        <v>689</v>
      </c>
      <c r="C127" s="1478"/>
      <c r="D127" s="1478"/>
      <c r="E127" s="1478"/>
      <c r="F127" s="1478"/>
      <c r="G127" s="1478"/>
      <c r="H127" s="1478"/>
      <c r="I127" s="1478"/>
      <c r="J127" s="1479"/>
      <c r="K127" s="1486" t="s">
        <v>948</v>
      </c>
      <c r="L127" s="1487"/>
      <c r="M127" s="1487"/>
      <c r="N127" s="1487"/>
      <c r="O127" s="1487"/>
      <c r="P127" s="1487"/>
      <c r="Q127" s="1487"/>
      <c r="R127" s="1488"/>
      <c r="S127" s="356" t="s">
        <v>775</v>
      </c>
      <c r="Y127" s="357"/>
      <c r="Z127" s="1471">
        <v>0.44</v>
      </c>
      <c r="AA127" s="1472"/>
      <c r="AB127" s="1" t="s">
        <v>776</v>
      </c>
      <c r="AC127" s="1"/>
      <c r="AG127" s="357"/>
      <c r="AH127" s="1489" t="s">
        <v>777</v>
      </c>
      <c r="AI127" s="1489"/>
      <c r="AJ127" s="1489"/>
      <c r="AK127" s="1491" t="s">
        <v>778</v>
      </c>
      <c r="AL127" s="1492"/>
    </row>
    <row r="128" spans="2:38" x14ac:dyDescent="0.25">
      <c r="B128" s="1493" t="s">
        <v>691</v>
      </c>
      <c r="C128" s="1494"/>
      <c r="D128" s="1494"/>
      <c r="E128" s="1494"/>
      <c r="F128" s="1494"/>
      <c r="G128" s="1494"/>
      <c r="H128" s="1494"/>
      <c r="I128" s="1494"/>
      <c r="J128" s="1495"/>
      <c r="K128" s="1430" t="s">
        <v>949</v>
      </c>
      <c r="L128" s="1190"/>
      <c r="M128" s="1190"/>
      <c r="N128" s="1190"/>
      <c r="O128" s="1190"/>
      <c r="P128" s="1190"/>
      <c r="Q128" s="1190"/>
      <c r="R128" s="1431"/>
      <c r="S128" s="356" t="s">
        <v>775</v>
      </c>
      <c r="Y128" s="357"/>
      <c r="Z128" s="1471">
        <v>0.47</v>
      </c>
      <c r="AA128" s="1472"/>
      <c r="AB128" s="1" t="s">
        <v>779</v>
      </c>
      <c r="AC128" s="1"/>
      <c r="AG128" s="358"/>
      <c r="AH128" s="1490"/>
      <c r="AI128" s="1490"/>
      <c r="AJ128" s="1490"/>
      <c r="AK128" s="1380"/>
      <c r="AL128" s="1382"/>
    </row>
    <row r="129" spans="2:38" x14ac:dyDescent="0.25">
      <c r="B129" s="1473" t="s">
        <v>693</v>
      </c>
      <c r="C129" s="1474"/>
      <c r="D129" s="1474"/>
      <c r="E129" s="1474"/>
      <c r="F129" s="1474"/>
      <c r="G129" s="1474"/>
      <c r="H129" s="1474"/>
      <c r="I129" s="1474"/>
      <c r="J129" s="1475"/>
      <c r="K129" s="1430" t="s">
        <v>950</v>
      </c>
      <c r="L129" s="1190"/>
      <c r="M129" s="1190"/>
      <c r="N129" s="1190"/>
      <c r="O129" s="1190"/>
      <c r="P129" s="1190"/>
      <c r="Q129" s="1190"/>
      <c r="R129" s="1431"/>
      <c r="S129" s="356" t="s">
        <v>775</v>
      </c>
      <c r="Y129" s="357"/>
      <c r="Z129" s="1471">
        <v>0.48</v>
      </c>
      <c r="AA129" s="1472"/>
      <c r="AB129" s="1" t="s">
        <v>781</v>
      </c>
      <c r="AC129" s="359"/>
      <c r="AG129" s="357"/>
      <c r="AH129" s="1441">
        <v>1</v>
      </c>
      <c r="AI129" s="1404"/>
      <c r="AJ129" s="1404"/>
      <c r="AK129" s="1476">
        <v>1</v>
      </c>
      <c r="AL129" s="1476"/>
    </row>
    <row r="130" spans="2:38" x14ac:dyDescent="0.25">
      <c r="B130" s="1477" t="s">
        <v>696</v>
      </c>
      <c r="C130" s="1478"/>
      <c r="D130" s="1478"/>
      <c r="E130" s="1478"/>
      <c r="F130" s="1478"/>
      <c r="G130" s="1478"/>
      <c r="H130" s="1478"/>
      <c r="I130" s="1478"/>
      <c r="J130" s="1479"/>
      <c r="K130" s="1430" t="s">
        <v>951</v>
      </c>
      <c r="L130" s="1190"/>
      <c r="M130" s="1190"/>
      <c r="N130" s="1190"/>
      <c r="O130" s="1190"/>
      <c r="P130" s="1190"/>
      <c r="Q130" s="1190"/>
      <c r="R130" s="1431"/>
      <c r="S130" s="356" t="s">
        <v>775</v>
      </c>
      <c r="Y130" s="357"/>
      <c r="Z130" s="1471">
        <v>0.51</v>
      </c>
      <c r="AA130" s="1472"/>
      <c r="AB130" s="1" t="s">
        <v>783</v>
      </c>
      <c r="AC130" s="359"/>
      <c r="AG130" s="357"/>
      <c r="AH130" s="1441">
        <v>1.5</v>
      </c>
      <c r="AI130" s="1404"/>
      <c r="AJ130" s="1404"/>
      <c r="AK130" s="1476">
        <v>1.18</v>
      </c>
      <c r="AL130" s="1476"/>
    </row>
    <row r="131" spans="2:38" x14ac:dyDescent="0.25">
      <c r="B131" s="1493" t="s">
        <v>698</v>
      </c>
      <c r="C131" s="1494"/>
      <c r="D131" s="1494"/>
      <c r="E131" s="1494"/>
      <c r="F131" s="1494"/>
      <c r="G131" s="1494"/>
      <c r="H131" s="1494"/>
      <c r="I131" s="1494"/>
      <c r="J131" s="1495"/>
      <c r="K131" s="1430" t="s">
        <v>952</v>
      </c>
      <c r="L131" s="1190"/>
      <c r="M131" s="1190"/>
      <c r="N131" s="1190"/>
      <c r="O131" s="1190"/>
      <c r="P131" s="1190"/>
      <c r="Q131" s="1190"/>
      <c r="R131" s="1431"/>
      <c r="S131" s="356" t="s">
        <v>785</v>
      </c>
      <c r="Y131" s="357"/>
      <c r="Z131" s="1471">
        <v>0.51</v>
      </c>
      <c r="AA131" s="1472"/>
      <c r="AB131" s="1" t="s">
        <v>786</v>
      </c>
      <c r="AC131" s="359"/>
      <c r="AG131" s="357"/>
      <c r="AH131" s="1441">
        <v>2</v>
      </c>
      <c r="AI131" s="1404"/>
      <c r="AJ131" s="1404"/>
      <c r="AK131" s="1476">
        <v>1.32</v>
      </c>
      <c r="AL131" s="1476"/>
    </row>
    <row r="132" spans="2:38" x14ac:dyDescent="0.25">
      <c r="B132" s="1493" t="s">
        <v>701</v>
      </c>
      <c r="C132" s="1494"/>
      <c r="D132" s="1494"/>
      <c r="E132" s="1494"/>
      <c r="F132" s="1494"/>
      <c r="G132" s="1494"/>
      <c r="H132" s="1494"/>
      <c r="I132" s="1494"/>
      <c r="J132" s="1495"/>
      <c r="K132" s="1430" t="s">
        <v>953</v>
      </c>
      <c r="L132" s="1190"/>
      <c r="M132" s="1190"/>
      <c r="N132" s="1190"/>
      <c r="O132" s="1190"/>
      <c r="P132" s="1190"/>
      <c r="Q132" s="1190"/>
      <c r="R132" s="1431"/>
      <c r="S132" s="356" t="s">
        <v>775</v>
      </c>
      <c r="Y132" s="357"/>
      <c r="Z132" s="1471">
        <v>0.55000000000000004</v>
      </c>
      <c r="AA132" s="1472"/>
      <c r="AB132" s="1" t="s">
        <v>788</v>
      </c>
      <c r="AC132" s="359"/>
      <c r="AG132" s="357"/>
      <c r="AH132" s="1441">
        <v>2.5</v>
      </c>
      <c r="AI132" s="1404"/>
      <c r="AJ132" s="1404"/>
      <c r="AK132" s="1476">
        <v>1.44</v>
      </c>
      <c r="AL132" s="1476"/>
    </row>
    <row r="133" spans="2:38" x14ac:dyDescent="0.25">
      <c r="B133" s="1493" t="s">
        <v>954</v>
      </c>
      <c r="C133" s="1494"/>
      <c r="D133" s="1494"/>
      <c r="E133" s="1494"/>
      <c r="F133" s="1494"/>
      <c r="G133" s="1494"/>
      <c r="H133" s="1494"/>
      <c r="I133" s="1494"/>
      <c r="J133" s="1495"/>
      <c r="K133" s="1430" t="s">
        <v>955</v>
      </c>
      <c r="L133" s="1190"/>
      <c r="M133" s="1190"/>
      <c r="N133" s="1190"/>
      <c r="O133" s="1190"/>
      <c r="P133" s="1190"/>
      <c r="Q133" s="1190"/>
      <c r="R133" s="1431"/>
      <c r="S133" s="356" t="s">
        <v>785</v>
      </c>
      <c r="Y133" s="357"/>
      <c r="Z133" s="1471">
        <v>0.56000000000000005</v>
      </c>
      <c r="AA133" s="1472"/>
      <c r="AB133" s="1" t="s">
        <v>790</v>
      </c>
      <c r="AC133" s="359"/>
      <c r="AG133" s="357"/>
      <c r="AH133" s="1441">
        <v>3</v>
      </c>
      <c r="AI133" s="1404"/>
      <c r="AJ133" s="1404"/>
      <c r="AK133" s="1476">
        <v>1.55</v>
      </c>
      <c r="AL133" s="1476"/>
    </row>
    <row r="134" spans="2:38" x14ac:dyDescent="0.25">
      <c r="B134" s="1499" t="s">
        <v>706</v>
      </c>
      <c r="C134" s="1500"/>
      <c r="D134" s="1500"/>
      <c r="E134" s="1500"/>
      <c r="F134" s="1500"/>
      <c r="G134" s="1500"/>
      <c r="H134" s="1500"/>
      <c r="I134" s="1500"/>
      <c r="J134" s="1501"/>
      <c r="K134" s="1430" t="s">
        <v>956</v>
      </c>
      <c r="L134" s="1190"/>
      <c r="M134" s="1190"/>
      <c r="N134" s="1190"/>
      <c r="O134" s="1190"/>
      <c r="P134" s="1190"/>
      <c r="Q134" s="1190"/>
      <c r="R134" s="1431"/>
      <c r="S134" s="356" t="s">
        <v>785</v>
      </c>
      <c r="Y134" s="357"/>
      <c r="Z134" s="1471">
        <v>0.56999999999999995</v>
      </c>
      <c r="AA134" s="1472"/>
      <c r="AB134" s="1" t="s">
        <v>794</v>
      </c>
      <c r="AG134" s="357"/>
    </row>
    <row r="135" spans="2:38" x14ac:dyDescent="0.25">
      <c r="B135" s="1502" t="s">
        <v>696</v>
      </c>
      <c r="C135" s="1503"/>
      <c r="D135" s="1503"/>
      <c r="E135" s="1503"/>
      <c r="F135" s="1503"/>
      <c r="G135" s="1503"/>
      <c r="H135" s="1503"/>
      <c r="I135" s="1503"/>
      <c r="J135" s="1504"/>
      <c r="K135" s="1430" t="s">
        <v>957</v>
      </c>
      <c r="L135" s="1190"/>
      <c r="M135" s="1190"/>
      <c r="N135" s="1190"/>
      <c r="O135" s="1190"/>
      <c r="P135" s="1190"/>
      <c r="Q135" s="1190"/>
      <c r="R135" s="1431"/>
      <c r="S135" s="356" t="s">
        <v>785</v>
      </c>
      <c r="Y135" s="357"/>
      <c r="Z135" s="1471">
        <v>0.56999999999999995</v>
      </c>
      <c r="AA135" s="1472"/>
      <c r="AB135" s="1" t="s">
        <v>797</v>
      </c>
      <c r="AG135" s="357"/>
    </row>
    <row r="136" spans="2:38" x14ac:dyDescent="0.25">
      <c r="B136" s="1496" t="s">
        <v>710</v>
      </c>
      <c r="C136" s="1497"/>
      <c r="D136" s="1497"/>
      <c r="E136" s="1497"/>
      <c r="F136" s="1497"/>
      <c r="G136" s="1497"/>
      <c r="H136" s="1497"/>
      <c r="I136" s="1497"/>
      <c r="J136" s="1498"/>
      <c r="K136" s="1430" t="s">
        <v>958</v>
      </c>
      <c r="L136" s="1190"/>
      <c r="M136" s="1190"/>
      <c r="N136" s="1190"/>
      <c r="O136" s="1190"/>
      <c r="P136" s="1190"/>
      <c r="Q136" s="1190"/>
      <c r="R136" s="1431"/>
      <c r="S136" s="356" t="s">
        <v>796</v>
      </c>
      <c r="Y136" s="357"/>
      <c r="Z136" s="1471">
        <v>0.57999999999999996</v>
      </c>
      <c r="AA136" s="1472"/>
      <c r="AB136" s="1" t="s">
        <v>805</v>
      </c>
      <c r="AG136" s="357"/>
    </row>
    <row r="137" spans="2:38" x14ac:dyDescent="0.25">
      <c r="B137" s="1496" t="s">
        <v>712</v>
      </c>
      <c r="C137" s="1497"/>
      <c r="D137" s="1497"/>
      <c r="E137" s="1497"/>
      <c r="F137" s="1497"/>
      <c r="G137" s="1497"/>
      <c r="H137" s="1497"/>
      <c r="I137" s="1497"/>
      <c r="J137" s="1498"/>
      <c r="K137" s="1430" t="s">
        <v>959</v>
      </c>
      <c r="L137" s="1190"/>
      <c r="M137" s="1190"/>
      <c r="N137" s="1190"/>
      <c r="O137" s="1190"/>
      <c r="P137" s="1190"/>
      <c r="Q137" s="1190"/>
      <c r="R137" s="1431"/>
      <c r="S137" s="356" t="s">
        <v>775</v>
      </c>
      <c r="Y137" s="357"/>
      <c r="Z137" s="1471">
        <v>0.6</v>
      </c>
      <c r="AA137" s="1472"/>
      <c r="AB137" s="1" t="s">
        <v>811</v>
      </c>
      <c r="AG137" s="357"/>
    </row>
    <row r="138" spans="2:38" x14ac:dyDescent="0.25">
      <c r="B138" s="1496" t="s">
        <v>954</v>
      </c>
      <c r="C138" s="1497"/>
      <c r="D138" s="1497"/>
      <c r="E138" s="1497"/>
      <c r="F138" s="1497"/>
      <c r="G138" s="1497"/>
      <c r="H138" s="1497"/>
      <c r="I138" s="1497"/>
      <c r="J138" s="1498"/>
      <c r="K138" s="1430" t="s">
        <v>960</v>
      </c>
      <c r="L138" s="1190"/>
      <c r="M138" s="1190"/>
      <c r="N138" s="1190"/>
      <c r="O138" s="1190"/>
      <c r="P138" s="1190"/>
      <c r="Q138" s="1190"/>
      <c r="R138" s="1431"/>
      <c r="S138" s="356" t="s">
        <v>801</v>
      </c>
      <c r="Y138" s="357"/>
      <c r="Z138" s="1514" t="s">
        <v>715</v>
      </c>
      <c r="AA138" s="1515"/>
      <c r="AB138" s="1515"/>
      <c r="AC138" s="1515"/>
      <c r="AD138" s="1515"/>
      <c r="AE138" s="1515"/>
      <c r="AF138" s="1515"/>
      <c r="AG138" s="1515"/>
      <c r="AH138" s="1515"/>
      <c r="AI138" s="1515"/>
      <c r="AJ138" s="1515"/>
      <c r="AK138" s="1515"/>
      <c r="AL138" s="1516"/>
    </row>
    <row r="139" spans="2:38" x14ac:dyDescent="0.25">
      <c r="B139" s="1517" t="s">
        <v>961</v>
      </c>
      <c r="C139" s="1518"/>
      <c r="D139" s="1518"/>
      <c r="E139" s="1518"/>
      <c r="F139" s="1518"/>
      <c r="G139" s="1518"/>
      <c r="H139" s="1518"/>
      <c r="I139" s="1518"/>
      <c r="J139" s="1519"/>
      <c r="K139" s="1430" t="s">
        <v>962</v>
      </c>
      <c r="L139" s="1190"/>
      <c r="M139" s="1190"/>
      <c r="N139" s="1190"/>
      <c r="O139" s="1190"/>
      <c r="P139" s="1190"/>
      <c r="Q139" s="1190"/>
      <c r="R139" s="1431"/>
      <c r="S139" s="356" t="s">
        <v>804</v>
      </c>
      <c r="X139" s="360"/>
      <c r="Y139" s="361"/>
      <c r="Z139" s="1520" t="s">
        <v>716</v>
      </c>
      <c r="AA139" s="1521"/>
      <c r="AB139" s="1521"/>
      <c r="AC139" s="1521"/>
      <c r="AD139" s="1521"/>
      <c r="AE139" s="1521"/>
      <c r="AF139" s="1521"/>
      <c r="AG139" s="1521"/>
      <c r="AH139" s="1521"/>
      <c r="AI139" s="1521"/>
      <c r="AJ139" s="1521"/>
      <c r="AK139" s="1521"/>
      <c r="AL139" s="1522"/>
    </row>
    <row r="140" spans="2:38" x14ac:dyDescent="0.25">
      <c r="B140" s="1526" t="s">
        <v>963</v>
      </c>
      <c r="C140" s="1527"/>
      <c r="D140" s="1527"/>
      <c r="E140" s="1527"/>
      <c r="F140" s="1527"/>
      <c r="G140" s="1527"/>
      <c r="H140" s="1527"/>
      <c r="I140" s="1527"/>
      <c r="J140" s="1528"/>
      <c r="K140" s="362"/>
      <c r="L140" s="363"/>
      <c r="M140" s="364"/>
      <c r="N140" s="363"/>
      <c r="O140" s="363"/>
      <c r="P140" s="363"/>
      <c r="Q140" s="365"/>
      <c r="R140" s="363" t="s">
        <v>964</v>
      </c>
      <c r="S140" s="366" t="s">
        <v>807</v>
      </c>
      <c r="T140" s="353"/>
      <c r="U140" s="353"/>
      <c r="V140" s="353"/>
      <c r="W140" s="353"/>
      <c r="X140" s="353"/>
      <c r="Y140" s="355"/>
      <c r="Z140" s="1523"/>
      <c r="AA140" s="1524"/>
      <c r="AB140" s="1524"/>
      <c r="AC140" s="1524"/>
      <c r="AD140" s="1524"/>
      <c r="AE140" s="1524"/>
      <c r="AF140" s="1524"/>
      <c r="AG140" s="1524"/>
      <c r="AH140" s="1524"/>
      <c r="AI140" s="1524"/>
      <c r="AJ140" s="1524"/>
      <c r="AK140" s="1524"/>
      <c r="AL140" s="1525"/>
    </row>
    <row r="141" spans="2:38" x14ac:dyDescent="0.25">
      <c r="B141" s="1536" t="s">
        <v>717</v>
      </c>
      <c r="C141" s="1536"/>
      <c r="D141" s="1536"/>
      <c r="E141" s="1536"/>
      <c r="F141" s="1536"/>
      <c r="G141" s="1536"/>
      <c r="H141" s="1536"/>
      <c r="I141" s="1536"/>
      <c r="J141" s="1536"/>
      <c r="K141" s="1536"/>
      <c r="L141" s="1536"/>
      <c r="M141" s="1536"/>
      <c r="N141" s="1536"/>
      <c r="O141" s="1536"/>
      <c r="P141" s="1536"/>
      <c r="Q141" s="1536"/>
      <c r="R141" s="1536"/>
      <c r="S141" s="1536"/>
      <c r="T141" s="1536"/>
      <c r="U141" s="1404" t="s">
        <v>718</v>
      </c>
      <c r="V141" s="1404"/>
      <c r="W141" s="1404"/>
      <c r="X141" s="1404"/>
      <c r="Y141" s="1404" t="s">
        <v>719</v>
      </c>
      <c r="Z141" s="1404"/>
      <c r="AA141" s="1404"/>
      <c r="AB141" s="1404"/>
      <c r="AC141" s="1404" t="s">
        <v>720</v>
      </c>
      <c r="AD141" s="1404"/>
      <c r="AE141" s="1404"/>
      <c r="AF141" s="1404"/>
      <c r="AG141" s="1404"/>
      <c r="AH141" s="1404"/>
      <c r="AI141" s="1404"/>
      <c r="AJ141" s="1404"/>
      <c r="AK141" s="1404"/>
      <c r="AL141" s="1404"/>
    </row>
    <row r="142" spans="2:38" x14ac:dyDescent="0.25">
      <c r="B142" s="1505" t="s">
        <v>965</v>
      </c>
      <c r="C142" s="1506"/>
      <c r="D142" s="1506"/>
      <c r="E142" s="1506"/>
      <c r="F142" s="1506"/>
      <c r="G142" s="1506"/>
      <c r="H142" s="1506"/>
      <c r="I142" s="1506"/>
      <c r="J142" s="1506"/>
      <c r="K142" s="1506"/>
      <c r="L142" s="1506"/>
      <c r="M142" s="1506"/>
      <c r="N142" s="1506"/>
      <c r="O142" s="1506"/>
      <c r="P142" s="1506"/>
      <c r="Q142" s="1506"/>
      <c r="R142" s="1506"/>
      <c r="S142" s="1506"/>
      <c r="T142" s="1506"/>
      <c r="U142" s="1507"/>
    </row>
    <row r="143" spans="2:38" ht="15" customHeight="1" x14ac:dyDescent="0.25">
      <c r="B143" s="1508" t="s">
        <v>681</v>
      </c>
      <c r="C143" s="1509"/>
      <c r="D143" s="1509"/>
      <c r="E143" s="1509"/>
      <c r="F143" s="1510"/>
      <c r="G143" s="1511" t="s">
        <v>966</v>
      </c>
      <c r="H143" s="1512"/>
      <c r="I143" s="1512"/>
      <c r="J143" s="1512"/>
      <c r="K143" s="1512"/>
      <c r="L143" s="1512"/>
      <c r="M143" s="1512"/>
      <c r="N143" s="1512"/>
      <c r="O143" s="1512"/>
      <c r="P143" s="1512"/>
      <c r="Q143" s="1512"/>
      <c r="R143" s="1512"/>
      <c r="S143" s="1512"/>
      <c r="T143" s="1512"/>
      <c r="U143" s="1513"/>
      <c r="W143" s="367"/>
      <c r="X143" s="367"/>
      <c r="Y143" s="367"/>
      <c r="Z143" s="367"/>
      <c r="AA143" s="367"/>
      <c r="AB143" s="367"/>
      <c r="AC143" s="367"/>
    </row>
    <row r="144" spans="2:38" ht="15" customHeight="1" x14ac:dyDescent="0.25">
      <c r="B144" s="1529" t="s">
        <v>684</v>
      </c>
      <c r="C144" s="1530"/>
      <c r="D144" s="1530"/>
      <c r="E144" s="1530"/>
      <c r="F144" s="1530"/>
      <c r="G144" s="1531" t="s">
        <v>685</v>
      </c>
      <c r="H144" s="1449"/>
      <c r="I144" s="1449"/>
      <c r="J144" s="1449"/>
      <c r="K144" s="1449"/>
      <c r="L144" s="1449"/>
      <c r="M144" s="1449"/>
      <c r="N144" s="1449"/>
      <c r="O144" s="1449"/>
      <c r="P144" s="1449"/>
      <c r="Q144" s="1449"/>
      <c r="R144" s="1449"/>
      <c r="S144" s="1449"/>
      <c r="T144" s="1449"/>
      <c r="U144" s="1450"/>
      <c r="W144" s="193"/>
      <c r="X144" s="193"/>
      <c r="Y144" s="193"/>
      <c r="AA144" s="1"/>
      <c r="AB144" s="1"/>
      <c r="AC144" s="1"/>
      <c r="AD144" s="1"/>
      <c r="AE144" s="1"/>
      <c r="AF144" s="1"/>
    </row>
    <row r="145" spans="2:44" ht="15" customHeight="1" x14ac:dyDescent="0.25">
      <c r="B145" s="1508" t="s">
        <v>687</v>
      </c>
      <c r="C145" s="1509"/>
      <c r="D145" s="1509"/>
      <c r="E145" s="1509"/>
      <c r="F145" s="1510"/>
      <c r="G145" s="1532" t="s">
        <v>688</v>
      </c>
      <c r="H145" s="1359"/>
      <c r="I145" s="1359"/>
      <c r="J145" s="1359"/>
      <c r="K145" s="1359"/>
      <c r="L145" s="1359"/>
      <c r="M145" s="1359"/>
      <c r="N145" s="1359"/>
      <c r="O145" s="1359"/>
      <c r="P145" s="1359"/>
      <c r="Q145" s="1359"/>
      <c r="R145" s="1359"/>
      <c r="S145" s="1359"/>
      <c r="T145" s="1359"/>
      <c r="U145" s="1413"/>
      <c r="W145" s="193"/>
      <c r="X145" s="193"/>
      <c r="Y145" s="193"/>
      <c r="Z145" s="193"/>
      <c r="AA145" s="193"/>
      <c r="AB145" s="193"/>
      <c r="AC145" s="193"/>
    </row>
    <row r="146" spans="2:44" x14ac:dyDescent="0.25">
      <c r="B146" s="1508"/>
      <c r="C146" s="1509"/>
      <c r="D146" s="1509"/>
      <c r="E146" s="1509"/>
      <c r="F146" s="1510"/>
      <c r="G146" s="1532" t="s">
        <v>967</v>
      </c>
      <c r="H146" s="1359"/>
      <c r="I146" s="1359"/>
      <c r="J146" s="1359"/>
      <c r="K146" s="1359"/>
      <c r="L146" s="1359"/>
      <c r="M146" s="1359"/>
      <c r="N146" s="1359"/>
      <c r="O146" s="1359"/>
      <c r="P146" s="1359"/>
      <c r="Q146" s="1359"/>
      <c r="R146" s="1359"/>
      <c r="S146" s="1359"/>
      <c r="T146" s="1359"/>
      <c r="U146" s="1413"/>
      <c r="W146" s="368"/>
      <c r="X146" s="368"/>
      <c r="Y146" s="368"/>
      <c r="Z146" s="368"/>
      <c r="AA146" s="368"/>
      <c r="AB146" s="368"/>
      <c r="AC146" s="368"/>
    </row>
    <row r="147" spans="2:44" x14ac:dyDescent="0.25">
      <c r="B147" s="1508"/>
      <c r="C147" s="1509"/>
      <c r="D147" s="1509"/>
      <c r="E147" s="1509"/>
      <c r="F147" s="1510"/>
      <c r="G147" s="1533" t="s">
        <v>692</v>
      </c>
      <c r="H147" s="1534"/>
      <c r="I147" s="1534"/>
      <c r="J147" s="1534"/>
      <c r="K147" s="1534"/>
      <c r="L147" s="1534"/>
      <c r="M147" s="1534"/>
      <c r="N147" s="1534"/>
      <c r="O147" s="1534"/>
      <c r="P147" s="1534"/>
      <c r="Q147" s="1534"/>
      <c r="R147" s="1534"/>
      <c r="S147" s="1534"/>
      <c r="T147" s="1534"/>
      <c r="U147" s="1535"/>
      <c r="W147" s="369"/>
      <c r="X147" s="369"/>
      <c r="Y147" s="369"/>
      <c r="Z147" s="369"/>
      <c r="AA147" s="369"/>
      <c r="AB147" s="369"/>
      <c r="AC147" s="193"/>
    </row>
    <row r="148" spans="2:44" x14ac:dyDescent="0.25">
      <c r="B148" s="1529" t="s">
        <v>694</v>
      </c>
      <c r="C148" s="1530"/>
      <c r="D148" s="1530"/>
      <c r="E148" s="1530"/>
      <c r="F148" s="1530"/>
      <c r="G148" s="1531" t="s">
        <v>695</v>
      </c>
      <c r="H148" s="1449"/>
      <c r="I148" s="1449"/>
      <c r="J148" s="1449"/>
      <c r="K148" s="1449"/>
      <c r="L148" s="1449"/>
      <c r="M148" s="1449"/>
      <c r="N148" s="1449"/>
      <c r="O148" s="1449"/>
      <c r="P148" s="1449"/>
      <c r="Q148" s="1449"/>
      <c r="R148" s="1449"/>
      <c r="S148" s="1449"/>
      <c r="T148" s="1449"/>
      <c r="U148" s="1450"/>
      <c r="W148" s="193"/>
      <c r="X148" s="193"/>
      <c r="Y148" s="193"/>
      <c r="Z148" s="193"/>
      <c r="AA148" s="193"/>
      <c r="AB148" s="193"/>
      <c r="AC148" s="193"/>
    </row>
    <row r="149" spans="2:44" ht="15" customHeight="1" x14ac:dyDescent="0.25">
      <c r="B149" s="1508" t="s">
        <v>699</v>
      </c>
      <c r="C149" s="1509"/>
      <c r="D149" s="1509"/>
      <c r="E149" s="1509"/>
      <c r="F149" s="1510"/>
      <c r="G149" s="1541" t="s">
        <v>700</v>
      </c>
      <c r="H149" s="1542"/>
      <c r="I149" s="1542"/>
      <c r="J149" s="1542"/>
      <c r="K149" s="1542"/>
      <c r="L149" s="1542"/>
      <c r="M149" s="1542"/>
      <c r="N149" s="1542"/>
      <c r="O149" s="1542"/>
      <c r="P149" s="1542"/>
      <c r="Q149" s="1542"/>
      <c r="R149" s="1542"/>
      <c r="S149" s="1542"/>
      <c r="T149" s="1542"/>
      <c r="U149" s="1543"/>
      <c r="W149" s="368"/>
      <c r="X149" s="368"/>
      <c r="Y149" s="368"/>
      <c r="Z149" s="368"/>
      <c r="AA149" s="368"/>
      <c r="AB149" s="368"/>
      <c r="AC149" s="193"/>
    </row>
    <row r="150" spans="2:44" ht="15" customHeight="1" x14ac:dyDescent="0.25">
      <c r="B150" s="1508"/>
      <c r="C150" s="1509"/>
      <c r="D150" s="1509"/>
      <c r="E150" s="1509"/>
      <c r="F150" s="1510"/>
      <c r="G150" s="1541" t="s">
        <v>702</v>
      </c>
      <c r="H150" s="1542"/>
      <c r="I150" s="1542"/>
      <c r="J150" s="1542"/>
      <c r="K150" s="1542"/>
      <c r="L150" s="1542"/>
      <c r="M150" s="1542"/>
      <c r="N150" s="1542"/>
      <c r="O150" s="1542"/>
      <c r="P150" s="1542"/>
      <c r="Q150" s="1542"/>
      <c r="R150" s="1542"/>
      <c r="S150" s="1542"/>
      <c r="T150" s="1542"/>
      <c r="U150" s="1543"/>
      <c r="W150" s="368"/>
      <c r="X150" s="368"/>
      <c r="Y150" s="368"/>
      <c r="Z150" s="368"/>
      <c r="AA150" s="368"/>
      <c r="AB150" s="368"/>
      <c r="AC150" s="193"/>
    </row>
    <row r="151" spans="2:44" ht="15" customHeight="1" x14ac:dyDescent="0.25">
      <c r="B151" s="1529" t="s">
        <v>704</v>
      </c>
      <c r="C151" s="1530"/>
      <c r="D151" s="1530"/>
      <c r="E151" s="1530"/>
      <c r="F151" s="1530"/>
      <c r="G151" s="1547" t="s">
        <v>968</v>
      </c>
      <c r="H151" s="1548"/>
      <c r="I151" s="1548"/>
      <c r="J151" s="1548"/>
      <c r="K151" s="1548"/>
      <c r="L151" s="1548"/>
      <c r="M151" s="1548"/>
      <c r="N151" s="1548"/>
      <c r="O151" s="1548"/>
      <c r="P151" s="1548"/>
      <c r="Q151" s="1548"/>
      <c r="R151" s="1548"/>
      <c r="S151" s="1548"/>
      <c r="T151" s="1548"/>
      <c r="U151" s="1549"/>
      <c r="W151" s="367"/>
      <c r="X151" s="367"/>
      <c r="Y151" s="367"/>
      <c r="Z151" s="367"/>
      <c r="AA151" s="367"/>
      <c r="AB151" s="367"/>
      <c r="AC151" s="193"/>
    </row>
    <row r="152" spans="2:44" ht="15" customHeight="1" x14ac:dyDescent="0.25">
      <c r="B152" s="1537" t="s">
        <v>969</v>
      </c>
      <c r="C152" s="1538"/>
      <c r="D152" s="1538"/>
      <c r="E152" s="1538"/>
      <c r="F152" s="1539"/>
      <c r="G152" s="1541" t="s">
        <v>708</v>
      </c>
      <c r="H152" s="1542"/>
      <c r="I152" s="1542"/>
      <c r="J152" s="1542"/>
      <c r="K152" s="1542"/>
      <c r="L152" s="1542"/>
      <c r="M152" s="1542"/>
      <c r="N152" s="1542"/>
      <c r="O152" s="1542"/>
      <c r="P152" s="1542"/>
      <c r="Q152" s="1542"/>
      <c r="R152" s="1542"/>
      <c r="S152" s="1542"/>
      <c r="T152" s="1542"/>
      <c r="U152" s="1543"/>
      <c r="W152" s="193"/>
      <c r="X152" s="193"/>
      <c r="Y152" s="193"/>
      <c r="Z152" s="193"/>
      <c r="AA152" s="193"/>
      <c r="AB152" s="193"/>
      <c r="AC152" s="193"/>
    </row>
    <row r="153" spans="2:44" x14ac:dyDescent="0.25">
      <c r="B153" s="1483"/>
      <c r="C153" s="1484"/>
      <c r="D153" s="1484"/>
      <c r="E153" s="1484"/>
      <c r="F153" s="1540"/>
      <c r="G153" s="1541" t="s">
        <v>970</v>
      </c>
      <c r="H153" s="1542"/>
      <c r="I153" s="1542"/>
      <c r="J153" s="1542"/>
      <c r="K153" s="1542"/>
      <c r="L153" s="1542"/>
      <c r="M153" s="1542"/>
      <c r="N153" s="1542"/>
      <c r="O153" s="1542"/>
      <c r="P153" s="1542"/>
      <c r="Q153" s="1542"/>
      <c r="R153" s="1542"/>
      <c r="S153" s="1542"/>
      <c r="T153" s="1542"/>
      <c r="U153" s="1543"/>
      <c r="W153" s="368"/>
      <c r="X153" s="368"/>
      <c r="Y153" s="368"/>
      <c r="Z153" s="368"/>
      <c r="AA153" s="368"/>
      <c r="AB153" s="368"/>
      <c r="AC153" s="193"/>
    </row>
    <row r="154" spans="2:44" ht="15" customHeight="1" x14ac:dyDescent="0.25">
      <c r="B154" s="1483"/>
      <c r="C154" s="1484"/>
      <c r="D154" s="1484"/>
      <c r="E154" s="1484"/>
      <c r="F154" s="1540"/>
      <c r="G154" s="1541" t="s">
        <v>971</v>
      </c>
      <c r="H154" s="1542"/>
      <c r="I154" s="1542"/>
      <c r="J154" s="1542"/>
      <c r="K154" s="1542"/>
      <c r="L154" s="1542"/>
      <c r="M154" s="1542"/>
      <c r="N154" s="1542"/>
      <c r="O154" s="1542"/>
      <c r="P154" s="1542"/>
      <c r="Q154" s="1542"/>
      <c r="R154" s="1542"/>
      <c r="S154" s="1542"/>
      <c r="T154" s="1542"/>
      <c r="U154" s="1543"/>
      <c r="W154" s="368"/>
      <c r="X154" s="368"/>
      <c r="Y154" s="368"/>
      <c r="Z154" s="368"/>
      <c r="AA154" s="368"/>
      <c r="AB154" s="368"/>
      <c r="AC154" s="193"/>
    </row>
    <row r="155" spans="2:44" x14ac:dyDescent="0.25">
      <c r="B155" s="1544" t="s">
        <v>972</v>
      </c>
      <c r="C155" s="1545"/>
      <c r="D155" s="1545"/>
      <c r="E155" s="1545"/>
      <c r="F155" s="1546"/>
      <c r="G155" s="1547" t="s">
        <v>973</v>
      </c>
      <c r="H155" s="1548"/>
      <c r="I155" s="1548"/>
      <c r="J155" s="1548"/>
      <c r="K155" s="1548"/>
      <c r="L155" s="1548"/>
      <c r="M155" s="1548"/>
      <c r="N155" s="1548"/>
      <c r="O155" s="1548"/>
      <c r="P155" s="1548"/>
      <c r="Q155" s="1548"/>
      <c r="R155" s="1548"/>
      <c r="S155" s="1548"/>
      <c r="T155" s="1548"/>
      <c r="U155" s="1549"/>
      <c r="W155" s="370"/>
      <c r="X155" s="370"/>
      <c r="Y155" s="370"/>
      <c r="Z155" s="370"/>
      <c r="AA155" s="370"/>
      <c r="AB155" s="370"/>
      <c r="AC155" s="193"/>
    </row>
    <row r="156" spans="2:44" ht="15" customHeight="1" x14ac:dyDescent="0.25">
      <c r="H156" s="368"/>
      <c r="I156" s="368"/>
      <c r="J156" s="368"/>
      <c r="K156" s="368"/>
      <c r="W156" s="371"/>
      <c r="X156" s="371"/>
      <c r="Y156" s="371"/>
      <c r="Z156" s="371"/>
      <c r="AA156" s="371"/>
      <c r="AB156" s="371"/>
      <c r="AC156" s="193"/>
      <c r="AR156" s="193"/>
    </row>
    <row r="157" spans="2:44" x14ac:dyDescent="0.25">
      <c r="J157" s="344"/>
      <c r="K157" s="344"/>
      <c r="L157" s="344"/>
      <c r="M157" s="344"/>
      <c r="N157" s="344"/>
      <c r="O157" s="344"/>
      <c r="P157" s="344"/>
      <c r="Q157" s="344"/>
      <c r="R157" s="344"/>
      <c r="S157" s="344"/>
    </row>
    <row r="158" spans="2:44" x14ac:dyDescent="0.25">
      <c r="AR158" s="193"/>
    </row>
  </sheetData>
  <sheetProtection algorithmName="SHA-512" hashValue="DXZwsfwhBwygn0O+Tqz5adof3A5KiM60cIc1E39D+HYwa13pId30+31LiOHdS6awDDQ7bvJVOTB+y4Pgdj/R+Q==" saltValue="z1nvnikRvRjiZqZFkFfEPw==" spinCount="100000" sheet="1" selectLockedCells="1"/>
  <mergeCells count="400">
    <mergeCell ref="AB97:AI97"/>
    <mergeCell ref="AA103:AK103"/>
    <mergeCell ref="AA104:AK107"/>
    <mergeCell ref="AA109:AK109"/>
    <mergeCell ref="AA111:AD111"/>
    <mergeCell ref="AE111:AF111"/>
    <mergeCell ref="AG111:AJ111"/>
    <mergeCell ref="B65:AL65"/>
    <mergeCell ref="AD50:AK50"/>
    <mergeCell ref="AB50:AC50"/>
    <mergeCell ref="AA96:AK96"/>
    <mergeCell ref="AJ97:AK97"/>
    <mergeCell ref="AC82:AF82"/>
    <mergeCell ref="AG82:AI82"/>
    <mergeCell ref="AJ82:AK82"/>
    <mergeCell ref="B84:T84"/>
    <mergeCell ref="U84:AL84"/>
    <mergeCell ref="B85:T85"/>
    <mergeCell ref="U85:AL85"/>
    <mergeCell ref="AJ78:AK78"/>
    <mergeCell ref="U80:Z80"/>
    <mergeCell ref="AA80:AB80"/>
    <mergeCell ref="AC80:AI80"/>
    <mergeCell ref="AJ80:AK80"/>
    <mergeCell ref="B76:G76"/>
    <mergeCell ref="H76:I76"/>
    <mergeCell ref="J76:Q76"/>
    <mergeCell ref="R76:S76"/>
    <mergeCell ref="U76:AL76"/>
    <mergeCell ref="B78:P78"/>
    <mergeCell ref="R78:S78"/>
    <mergeCell ref="U78:Z78"/>
    <mergeCell ref="AA78:AB78"/>
    <mergeCell ref="AC78:AI78"/>
    <mergeCell ref="Z74:AA74"/>
    <mergeCell ref="AB74:AI74"/>
    <mergeCell ref="AJ74:AK74"/>
    <mergeCell ref="B72:G72"/>
    <mergeCell ref="H72:I72"/>
    <mergeCell ref="J72:Q72"/>
    <mergeCell ref="R72:S72"/>
    <mergeCell ref="U72:AI72"/>
    <mergeCell ref="AJ72:AK72"/>
    <mergeCell ref="B19:T19"/>
    <mergeCell ref="U19:AL19"/>
    <mergeCell ref="U37:AL40"/>
    <mergeCell ref="AA58:AK58"/>
    <mergeCell ref="B60:W60"/>
    <mergeCell ref="X60:Y60"/>
    <mergeCell ref="AA60:AD60"/>
    <mergeCell ref="AE60:AF60"/>
    <mergeCell ref="AG60:AJ60"/>
    <mergeCell ref="B54:W54"/>
    <mergeCell ref="X54:Y54"/>
    <mergeCell ref="B56:W56"/>
    <mergeCell ref="X56:Y56"/>
    <mergeCell ref="B58:W58"/>
    <mergeCell ref="X58:Y58"/>
    <mergeCell ref="B52:J52"/>
    <mergeCell ref="Z43:AL43"/>
    <mergeCell ref="AB45:AK45"/>
    <mergeCell ref="R22:S22"/>
    <mergeCell ref="AJ28:AK28"/>
    <mergeCell ref="B26:G26"/>
    <mergeCell ref="H26:I26"/>
    <mergeCell ref="J26:Q26"/>
    <mergeCell ref="R26:S26"/>
    <mergeCell ref="B61:AL61"/>
    <mergeCell ref="B59:AL59"/>
    <mergeCell ref="B57:AL57"/>
    <mergeCell ref="B55:AL55"/>
    <mergeCell ref="B53:AL53"/>
    <mergeCell ref="B51:AL51"/>
    <mergeCell ref="W50:Y50"/>
    <mergeCell ref="R50:V50"/>
    <mergeCell ref="AJ30:AK30"/>
    <mergeCell ref="N47:P47"/>
    <mergeCell ref="Q47:S47"/>
    <mergeCell ref="T47:V47"/>
    <mergeCell ref="W47:Y47"/>
    <mergeCell ref="K52:L52"/>
    <mergeCell ref="N52:Q52"/>
    <mergeCell ref="R52:S52"/>
    <mergeCell ref="C49:J49"/>
    <mergeCell ref="K49:M49"/>
    <mergeCell ref="N49:P49"/>
    <mergeCell ref="Q49:S49"/>
    <mergeCell ref="T49:V49"/>
    <mergeCell ref="W49:Y49"/>
    <mergeCell ref="AB49:AK49"/>
    <mergeCell ref="C46:J46"/>
    <mergeCell ref="U26:AL26"/>
    <mergeCell ref="B28:P28"/>
    <mergeCell ref="U28:Z28"/>
    <mergeCell ref="B30:P32"/>
    <mergeCell ref="AA28:AB28"/>
    <mergeCell ref="AA30:AB30"/>
    <mergeCell ref="AC28:AI28"/>
    <mergeCell ref="AC30:AI30"/>
    <mergeCell ref="R28:S28"/>
    <mergeCell ref="R32:S32"/>
    <mergeCell ref="R20:S20"/>
    <mergeCell ref="B24:P24"/>
    <mergeCell ref="S12:X12"/>
    <mergeCell ref="L12:N12"/>
    <mergeCell ref="O12:P12"/>
    <mergeCell ref="Q12:R12"/>
    <mergeCell ref="Y12:Z12"/>
    <mergeCell ref="U30:Z30"/>
    <mergeCell ref="B17:AL17"/>
    <mergeCell ref="U22:AI22"/>
    <mergeCell ref="AJ22:AK22"/>
    <mergeCell ref="R24:S24"/>
    <mergeCell ref="U24:Y24"/>
    <mergeCell ref="Z24:AA24"/>
    <mergeCell ref="AB24:AI24"/>
    <mergeCell ref="AJ24:AK24"/>
    <mergeCell ref="B18:AL18"/>
    <mergeCell ref="B20:P20"/>
    <mergeCell ref="U20:AL20"/>
    <mergeCell ref="B22:G22"/>
    <mergeCell ref="H22:I22"/>
    <mergeCell ref="J22:Q22"/>
    <mergeCell ref="B13:AL13"/>
    <mergeCell ref="B14:AL14"/>
    <mergeCell ref="B152:F154"/>
    <mergeCell ref="G152:U152"/>
    <mergeCell ref="G153:U153"/>
    <mergeCell ref="G154:U154"/>
    <mergeCell ref="B155:F155"/>
    <mergeCell ref="G155:U155"/>
    <mergeCell ref="B148:F148"/>
    <mergeCell ref="G148:U148"/>
    <mergeCell ref="B149:F150"/>
    <mergeCell ref="G149:U149"/>
    <mergeCell ref="G150:U150"/>
    <mergeCell ref="B151:F151"/>
    <mergeCell ref="G151:U151"/>
    <mergeCell ref="B144:F144"/>
    <mergeCell ref="G144:U144"/>
    <mergeCell ref="B145:F147"/>
    <mergeCell ref="G145:U145"/>
    <mergeCell ref="G146:U146"/>
    <mergeCell ref="G147:U147"/>
    <mergeCell ref="B141:T141"/>
    <mergeCell ref="U141:X141"/>
    <mergeCell ref="Y141:AB141"/>
    <mergeCell ref="AC141:AL141"/>
    <mergeCell ref="B142:U142"/>
    <mergeCell ref="B143:F143"/>
    <mergeCell ref="G143:U143"/>
    <mergeCell ref="B138:J138"/>
    <mergeCell ref="K138:R138"/>
    <mergeCell ref="Z138:AL138"/>
    <mergeCell ref="B139:J139"/>
    <mergeCell ref="K139:R139"/>
    <mergeCell ref="Z139:AL140"/>
    <mergeCell ref="B140:J140"/>
    <mergeCell ref="B136:J136"/>
    <mergeCell ref="K136:R136"/>
    <mergeCell ref="Z136:AA136"/>
    <mergeCell ref="B137:J137"/>
    <mergeCell ref="K137:R137"/>
    <mergeCell ref="Z137:AA137"/>
    <mergeCell ref="B134:J134"/>
    <mergeCell ref="K134:R134"/>
    <mergeCell ref="Z134:AA134"/>
    <mergeCell ref="B135:J135"/>
    <mergeCell ref="K135:R135"/>
    <mergeCell ref="Z135:AA135"/>
    <mergeCell ref="B132:J132"/>
    <mergeCell ref="K132:R132"/>
    <mergeCell ref="Z132:AA132"/>
    <mergeCell ref="AH132:AJ132"/>
    <mergeCell ref="AK132:AL132"/>
    <mergeCell ref="B133:J133"/>
    <mergeCell ref="K133:R133"/>
    <mergeCell ref="Z133:AA133"/>
    <mergeCell ref="AH133:AJ133"/>
    <mergeCell ref="AK133:AL133"/>
    <mergeCell ref="B130:J130"/>
    <mergeCell ref="K130:R130"/>
    <mergeCell ref="Z130:AA130"/>
    <mergeCell ref="AH130:AJ130"/>
    <mergeCell ref="AK130:AL130"/>
    <mergeCell ref="B131:J131"/>
    <mergeCell ref="K131:R131"/>
    <mergeCell ref="Z131:AA131"/>
    <mergeCell ref="AH131:AJ131"/>
    <mergeCell ref="AK131:AL131"/>
    <mergeCell ref="Z128:AA128"/>
    <mergeCell ref="B129:J129"/>
    <mergeCell ref="K129:R129"/>
    <mergeCell ref="Z129:AA129"/>
    <mergeCell ref="AH129:AJ129"/>
    <mergeCell ref="AK129:AL129"/>
    <mergeCell ref="B126:J126"/>
    <mergeCell ref="Z126:AG126"/>
    <mergeCell ref="AH126:AL126"/>
    <mergeCell ref="B127:J127"/>
    <mergeCell ref="K127:R127"/>
    <mergeCell ref="Z127:AA127"/>
    <mergeCell ref="AH127:AJ128"/>
    <mergeCell ref="AK127:AL128"/>
    <mergeCell ref="B128:J128"/>
    <mergeCell ref="K128:R128"/>
    <mergeCell ref="B123:AL123"/>
    <mergeCell ref="B124:AL124"/>
    <mergeCell ref="B125:J125"/>
    <mergeCell ref="K125:Y125"/>
    <mergeCell ref="Z125:AG125"/>
    <mergeCell ref="AH125:AL125"/>
    <mergeCell ref="B117:AL117"/>
    <mergeCell ref="B118:AL118"/>
    <mergeCell ref="B119:AL119"/>
    <mergeCell ref="B120:AL120"/>
    <mergeCell ref="B121:AL121"/>
    <mergeCell ref="B122:AL122"/>
    <mergeCell ref="B113:W113"/>
    <mergeCell ref="X113:Y113"/>
    <mergeCell ref="B116:AL116"/>
    <mergeCell ref="AA113:AD113"/>
    <mergeCell ref="AE113:AF113"/>
    <mergeCell ref="AG113:AJ113"/>
    <mergeCell ref="B107:W107"/>
    <mergeCell ref="X107:Y107"/>
    <mergeCell ref="B109:W109"/>
    <mergeCell ref="X109:Y109"/>
    <mergeCell ref="B111:W111"/>
    <mergeCell ref="X111:Y111"/>
    <mergeCell ref="AA108:AK108"/>
    <mergeCell ref="R101:V101"/>
    <mergeCell ref="W101:Y101"/>
    <mergeCell ref="B103:J103"/>
    <mergeCell ref="K103:L103"/>
    <mergeCell ref="R103:S103"/>
    <mergeCell ref="B105:W105"/>
    <mergeCell ref="X105:Y105"/>
    <mergeCell ref="AB98:AI98"/>
    <mergeCell ref="AJ98:AK98"/>
    <mergeCell ref="C99:J99"/>
    <mergeCell ref="K99:M99"/>
    <mergeCell ref="N99:P99"/>
    <mergeCell ref="Q99:S99"/>
    <mergeCell ref="T99:V99"/>
    <mergeCell ref="W99:Y99"/>
    <mergeCell ref="C98:J98"/>
    <mergeCell ref="K98:M98"/>
    <mergeCell ref="N98:P98"/>
    <mergeCell ref="Q98:S98"/>
    <mergeCell ref="T98:V98"/>
    <mergeCell ref="W98:Y98"/>
    <mergeCell ref="M103:Q103"/>
    <mergeCell ref="C97:J97"/>
    <mergeCell ref="K97:M97"/>
    <mergeCell ref="N97:P97"/>
    <mergeCell ref="Q97:S97"/>
    <mergeCell ref="T97:V97"/>
    <mergeCell ref="W97:Y97"/>
    <mergeCell ref="C96:J96"/>
    <mergeCell ref="K96:M96"/>
    <mergeCell ref="N96:P96"/>
    <mergeCell ref="Q96:S96"/>
    <mergeCell ref="T96:V96"/>
    <mergeCell ref="W96:Y96"/>
    <mergeCell ref="W95:Y95"/>
    <mergeCell ref="AA95:AK95"/>
    <mergeCell ref="C94:J94"/>
    <mergeCell ref="K94:M94"/>
    <mergeCell ref="N94:P94"/>
    <mergeCell ref="Q94:S94"/>
    <mergeCell ref="T94:V94"/>
    <mergeCell ref="W94:Y94"/>
    <mergeCell ref="AA94:AK94"/>
    <mergeCell ref="B91:AL91"/>
    <mergeCell ref="B92:J92"/>
    <mergeCell ref="K92:M92"/>
    <mergeCell ref="N92:P92"/>
    <mergeCell ref="Q92:S92"/>
    <mergeCell ref="T92:V92"/>
    <mergeCell ref="AJ101:AK101"/>
    <mergeCell ref="Z101:AI101"/>
    <mergeCell ref="AJ99:AK99"/>
    <mergeCell ref="AB99:AI99"/>
    <mergeCell ref="W92:Y92"/>
    <mergeCell ref="AA92:AI92"/>
    <mergeCell ref="AJ92:AK92"/>
    <mergeCell ref="C93:J93"/>
    <mergeCell ref="K93:M93"/>
    <mergeCell ref="N93:P93"/>
    <mergeCell ref="Q93:S93"/>
    <mergeCell ref="T93:V93"/>
    <mergeCell ref="W93:Y93"/>
    <mergeCell ref="C95:J95"/>
    <mergeCell ref="K95:M95"/>
    <mergeCell ref="N95:P95"/>
    <mergeCell ref="Q95:S95"/>
    <mergeCell ref="T95:V95"/>
    <mergeCell ref="B86:T90"/>
    <mergeCell ref="U87:AL90"/>
    <mergeCell ref="U86:AL86"/>
    <mergeCell ref="R82:S82"/>
    <mergeCell ref="U82:AB82"/>
    <mergeCell ref="B62:W62"/>
    <mergeCell ref="X62:Y62"/>
    <mergeCell ref="AA62:AD62"/>
    <mergeCell ref="AE62:AF62"/>
    <mergeCell ref="AG62:AJ62"/>
    <mergeCell ref="B63:AL63"/>
    <mergeCell ref="B80:P82"/>
    <mergeCell ref="AH66:AK66"/>
    <mergeCell ref="B68:AL68"/>
    <mergeCell ref="B69:T69"/>
    <mergeCell ref="U69:AL69"/>
    <mergeCell ref="B70:P70"/>
    <mergeCell ref="R70:S70"/>
    <mergeCell ref="U70:AL70"/>
    <mergeCell ref="AC66:AG66"/>
    <mergeCell ref="B66:AB66"/>
    <mergeCell ref="B74:P74"/>
    <mergeCell ref="R74:S74"/>
    <mergeCell ref="U74:Y74"/>
    <mergeCell ref="K46:M46"/>
    <mergeCell ref="N46:P46"/>
    <mergeCell ref="Q46:S46"/>
    <mergeCell ref="T46:V46"/>
    <mergeCell ref="W46:Y46"/>
    <mergeCell ref="AB46:AK46"/>
    <mergeCell ref="C45:J45"/>
    <mergeCell ref="K45:M45"/>
    <mergeCell ref="N45:P45"/>
    <mergeCell ref="Q45:S45"/>
    <mergeCell ref="T45:V45"/>
    <mergeCell ref="W45:Y45"/>
    <mergeCell ref="AB47:AK47"/>
    <mergeCell ref="C48:J48"/>
    <mergeCell ref="K48:M48"/>
    <mergeCell ref="N48:P48"/>
    <mergeCell ref="Q48:S48"/>
    <mergeCell ref="T48:V48"/>
    <mergeCell ref="W48:Y48"/>
    <mergeCell ref="AB48:AK48"/>
    <mergeCell ref="C47:J47"/>
    <mergeCell ref="K47:M47"/>
    <mergeCell ref="C44:J44"/>
    <mergeCell ref="K44:M44"/>
    <mergeCell ref="N44:P44"/>
    <mergeCell ref="Q44:S44"/>
    <mergeCell ref="T44:V44"/>
    <mergeCell ref="W44:Y44"/>
    <mergeCell ref="W42:Y42"/>
    <mergeCell ref="AA42:AI42"/>
    <mergeCell ref="AJ42:AK42"/>
    <mergeCell ref="C43:J43"/>
    <mergeCell ref="K43:M43"/>
    <mergeCell ref="N43:P43"/>
    <mergeCell ref="Q43:S43"/>
    <mergeCell ref="T43:V43"/>
    <mergeCell ref="W43:Y43"/>
    <mergeCell ref="AA44:AK44"/>
    <mergeCell ref="B41:AL41"/>
    <mergeCell ref="B42:J42"/>
    <mergeCell ref="K42:M42"/>
    <mergeCell ref="N42:P42"/>
    <mergeCell ref="Q42:S42"/>
    <mergeCell ref="T42:V42"/>
    <mergeCell ref="U32:AB32"/>
    <mergeCell ref="AC32:AF32"/>
    <mergeCell ref="AG32:AI32"/>
    <mergeCell ref="AJ32:AK32"/>
    <mergeCell ref="B35:T35"/>
    <mergeCell ref="B34:T34"/>
    <mergeCell ref="U34:AL34"/>
    <mergeCell ref="U35:AL35"/>
    <mergeCell ref="U36:AL36"/>
    <mergeCell ref="B36:T40"/>
    <mergeCell ref="B15:AL15"/>
    <mergeCell ref="B16:AB16"/>
    <mergeCell ref="AC16:AG16"/>
    <mergeCell ref="AH16:AK16"/>
    <mergeCell ref="B10:AL10"/>
    <mergeCell ref="B11:AL11"/>
    <mergeCell ref="B12:K12"/>
    <mergeCell ref="AJ12:AK12"/>
    <mergeCell ref="AA12:AI12"/>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s>
  <conditionalFormatting sqref="I9:Q9 W9:AK9">
    <cfRule type="containsBlanks" dxfId="22" priority="7">
      <formula>LEN(TRIM(I9))=0</formula>
    </cfRule>
  </conditionalFormatting>
  <conditionalFormatting sqref="K157:P157">
    <cfRule type="expression" dxfId="21" priority="10">
      <formula>W143="Y"</formula>
    </cfRule>
  </conditionalFormatting>
  <conditionalFormatting sqref="L12:N12 Y12:Z12">
    <cfRule type="containsBlanks" dxfId="20" priority="5">
      <formula>LEN(TRIM(L12))=0</formula>
    </cfRule>
  </conditionalFormatting>
  <conditionalFormatting sqref="L157:Q157">
    <cfRule type="expression" dxfId="19" priority="13">
      <formula>W143="Y"</formula>
    </cfRule>
  </conditionalFormatting>
  <conditionalFormatting sqref="S156:S157 J157 Q157:R157">
    <cfRule type="expression" dxfId="18" priority="8">
      <formula>M142="Y"</formula>
    </cfRule>
  </conditionalFormatting>
  <conditionalFormatting sqref="S156:S157 J157:K157 R157">
    <cfRule type="expression" dxfId="17" priority="9">
      <formula>L142="Y"</formula>
    </cfRule>
  </conditionalFormatting>
  <conditionalFormatting sqref="AA95:AK95">
    <cfRule type="containsBlanks" dxfId="16" priority="1">
      <formula>LEN(TRIM(AA95))=0</formula>
    </cfRule>
  </conditionalFormatting>
  <conditionalFormatting sqref="AH16:AK16">
    <cfRule type="containsBlanks" dxfId="15" priority="3">
      <formula>LEN(TRIM(AH16))=0</formula>
    </cfRule>
  </conditionalFormatting>
  <conditionalFormatting sqref="AH66:AK66">
    <cfRule type="containsBlanks" dxfId="14" priority="2">
      <formula>LEN(TRIM(AH66))=0</formula>
    </cfRule>
  </conditionalFormatting>
  <dataValidations count="2">
    <dataValidation type="whole" allowBlank="1" showInputMessage="1" showErrorMessage="1" sqref="L12" xr:uid="{95044514-F1AB-479B-894E-35252AB318AA}">
      <formula1>0</formula1>
      <formula2>10000</formula2>
    </dataValidation>
    <dataValidation type="list" allowBlank="1" showInputMessage="1" showErrorMessage="1" sqref="AK115" xr:uid="{35C8DD76-3534-4FF7-AC18-3225EC8ECA98}">
      <formula1>"N,W,S,E,NW,SW,NE,SE"</formula1>
    </dataValidation>
  </dataValidations>
  <pageMargins left="0.25" right="0.25" top="0.75" bottom="0.75" header="0.3" footer="0.3"/>
  <pageSetup orientation="portrait" horizontalDpi="1200" verticalDpi="1200" r:id="rId1"/>
  <rowBreaks count="2" manualBreakCount="2">
    <brk id="64" max="16383" man="1"/>
    <brk id="11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4933BA1-FF69-47B6-B560-39C614DD61E3}">
          <x14:formula1>
            <xm:f>Lists!$V$13:$V$22</xm:f>
          </x14:formula1>
          <xm:sqref>K52:L52</xm:sqref>
        </x14:dataValidation>
        <x14:dataValidation type="list" allowBlank="1" showInputMessage="1" showErrorMessage="1" xr:uid="{621EF22D-F613-472E-9CCB-7A66AE7D5A36}">
          <x14:formula1>
            <xm:f>Lists!$L$1:$L$2</xm:f>
          </x14:formula1>
          <xm:sqref>AA45:AA50 AA97 AA99</xm:sqref>
        </x14:dataValidation>
        <x14:dataValidation type="list" allowBlank="1" showInputMessage="1" showErrorMessage="1" xr:uid="{409F826C-4C15-4312-A991-E48EDA14F341}">
          <x14:formula1>
            <xm:f>Lists!$Z$1:$Z$2</xm:f>
          </x14:formula1>
          <xm:sqref>T43:V46 T48:V49 T93:V96 T98:V99</xm:sqref>
        </x14:dataValidation>
        <x14:dataValidation type="list" allowBlank="1" showInputMessage="1" showErrorMessage="1" xr:uid="{45128AA5-8A56-4CF5-A9A0-4BDC5E0E4838}">
          <x14:formula1>
            <xm:f>Lists!$V$1:$V$3</xm:f>
          </x14:formula1>
          <xm:sqref>H76:I76 H26:I26</xm:sqref>
        </x14:dataValidation>
        <x14:dataValidation type="list" allowBlank="1" showInputMessage="1" showErrorMessage="1" xr:uid="{668EA248-1438-4156-89DF-A0D1DD14F1FA}">
          <x14:formula1>
            <xm:f>Lists!$X$1:$X$3</xm:f>
          </x14:formula1>
          <xm:sqref>R28 AA30 R24:S24 R32 R20 AA28 R78 AA80 R74:S74 R82 R70 AA78</xm:sqref>
        </x14:dataValidation>
        <x14:dataValidation type="list" allowBlank="1" showInputMessage="1" showErrorMessage="1" xr:uid="{BE87196B-DA0E-4585-909D-0954572437A5}">
          <x14:formula1>
            <xm:f>Lists!$V$1:$V$2</xm:f>
          </x14:formula1>
          <xm:sqref>R26:S26 R76:S76</xm:sqref>
        </x14:dataValidation>
        <x14:dataValidation type="list" allowBlank="1" showInputMessage="1" showErrorMessage="1" xr:uid="{71F92420-4FF1-48C6-B17E-474507CDDD33}">
          <x14:formula1>
            <xm:f>Lists!$T$6:$T$12</xm:f>
          </x14:formula1>
          <xm:sqref>AA95:AK95</xm:sqref>
        </x14:dataValidation>
        <x14:dataValidation type="list" allowBlank="1" showInputMessage="1" showErrorMessage="1" xr:uid="{3F24653C-50BF-4F62-90C5-1370E64E6AC4}">
          <x14:formula1>
            <xm:f>Lists!$X$6:$X$14</xm:f>
          </x14:formula1>
          <xm:sqref>AK111 AK113 AK60 AK62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AFD8-265A-49B1-80EA-2F830426886B}">
  <sheetPr>
    <pageSetUpPr fitToPage="1"/>
  </sheetPr>
  <dimension ref="A1:R167"/>
  <sheetViews>
    <sheetView topLeftCell="A100" zoomScale="140" zoomScaleNormal="140" workbookViewId="0">
      <selection activeCell="J106" sqref="J106:K106"/>
    </sheetView>
  </sheetViews>
  <sheetFormatPr defaultColWidth="9.140625" defaultRowHeight="15" x14ac:dyDescent="0.25"/>
  <cols>
    <col min="1" max="9" width="4.85546875" customWidth="1"/>
    <col min="10" max="10" width="6" customWidth="1"/>
    <col min="11" max="15" width="4.85546875" customWidth="1"/>
    <col min="16" max="16" width="6" bestFit="1" customWidth="1"/>
    <col min="17" max="18" width="4.85546875" customWidth="1"/>
  </cols>
  <sheetData>
    <row r="1" spans="1:18" s="152" customFormat="1" ht="24.75" x14ac:dyDescent="0.4">
      <c r="A1" s="1826" t="s">
        <v>861</v>
      </c>
      <c r="B1" s="1827"/>
      <c r="C1" s="1827"/>
      <c r="D1" s="1827"/>
      <c r="E1" s="1827"/>
      <c r="F1" s="1827"/>
      <c r="G1" s="1827"/>
      <c r="H1" s="1827"/>
      <c r="I1" s="1827"/>
      <c r="J1" s="1827"/>
      <c r="K1" s="1827"/>
      <c r="L1" s="1827"/>
      <c r="M1" s="1827"/>
      <c r="N1" s="1827"/>
      <c r="O1" s="1827"/>
      <c r="P1" s="1827"/>
      <c r="Q1" s="1827"/>
      <c r="R1" s="1828"/>
    </row>
    <row r="2" spans="1:18" s="153" customFormat="1" ht="21" x14ac:dyDescent="0.35">
      <c r="A2" s="1829" t="s">
        <v>667</v>
      </c>
      <c r="B2" s="626"/>
      <c r="C2" s="626"/>
      <c r="D2" s="626"/>
      <c r="E2" s="626"/>
      <c r="F2" s="626"/>
      <c r="G2" s="626"/>
      <c r="H2" s="626"/>
      <c r="I2" s="626"/>
      <c r="J2" s="626"/>
      <c r="K2" s="626"/>
      <c r="L2" s="626"/>
      <c r="M2" s="626"/>
      <c r="N2" s="626"/>
      <c r="O2" s="626"/>
      <c r="P2" s="626"/>
      <c r="Q2" s="626"/>
      <c r="R2" s="1830"/>
    </row>
    <row r="3" spans="1:18" s="153" customFormat="1" ht="10.15" customHeight="1" x14ac:dyDescent="0.3">
      <c r="A3" s="323"/>
      <c r="B3" s="323"/>
      <c r="C3" s="323"/>
      <c r="D3" s="323"/>
      <c r="E3" s="323"/>
      <c r="F3" s="323"/>
      <c r="G3" s="323"/>
      <c r="H3" s="323"/>
      <c r="I3" s="323"/>
      <c r="J3" s="323"/>
      <c r="K3" s="323"/>
      <c r="L3" s="323"/>
      <c r="M3" s="323"/>
      <c r="N3" s="323"/>
      <c r="O3" s="323"/>
      <c r="P3" s="323"/>
      <c r="Q3" s="323"/>
      <c r="R3" s="323"/>
    </row>
    <row r="4" spans="1:18" x14ac:dyDescent="0.25">
      <c r="A4" s="1831" t="s">
        <v>860</v>
      </c>
      <c r="B4" s="1832"/>
      <c r="C4" s="1832"/>
      <c r="D4" s="1832"/>
      <c r="E4" s="1832"/>
      <c r="F4" s="1832"/>
      <c r="G4" s="1832"/>
      <c r="H4" s="1832"/>
      <c r="I4" s="1832"/>
      <c r="J4" s="1832"/>
      <c r="K4" s="1832"/>
      <c r="L4" s="1832"/>
      <c r="M4" s="1832"/>
      <c r="N4" s="1832"/>
      <c r="O4" s="1832"/>
      <c r="P4" s="1832"/>
      <c r="Q4" s="1832"/>
      <c r="R4" s="1833"/>
    </row>
    <row r="5" spans="1:18" s="154" customFormat="1" ht="15" customHeight="1" x14ac:dyDescent="0.25">
      <c r="A5" s="1163" t="s">
        <v>668</v>
      </c>
      <c r="B5" s="1164"/>
      <c r="C5" s="1164"/>
      <c r="D5" s="1164"/>
      <c r="E5" s="1164"/>
      <c r="F5" s="1164"/>
      <c r="G5" s="1164"/>
      <c r="H5" s="1164"/>
      <c r="I5" s="1164"/>
      <c r="J5" s="1164"/>
      <c r="K5" s="1164"/>
      <c r="L5" s="1164"/>
      <c r="M5" s="1164"/>
      <c r="N5" s="1164"/>
      <c r="O5" s="1164"/>
      <c r="P5" s="1164"/>
      <c r="Q5" s="1164"/>
      <c r="R5" s="1165"/>
    </row>
    <row r="6" spans="1:18" ht="18.75" customHeight="1" x14ac:dyDescent="0.25">
      <c r="A6" s="1606" t="s">
        <v>604</v>
      </c>
      <c r="B6" s="1361"/>
      <c r="C6" s="1839" t="str">
        <f>IF('Project Information'!E6="","",'Project Information'!E6)</f>
        <v/>
      </c>
      <c r="D6" s="1839"/>
      <c r="E6" s="1839"/>
      <c r="F6" s="1839"/>
      <c r="G6" s="1839"/>
      <c r="H6" s="1839"/>
      <c r="I6" s="1361" t="s">
        <v>605</v>
      </c>
      <c r="J6" s="1361"/>
      <c r="K6" s="1387" t="str">
        <f>IF('Project Information'!X6="","",'Project Information'!X6)</f>
        <v/>
      </c>
      <c r="L6" s="1387"/>
      <c r="M6" s="1387"/>
      <c r="N6" s="324" t="s">
        <v>1</v>
      </c>
      <c r="O6" s="1840" t="s">
        <v>606</v>
      </c>
      <c r="P6" s="1840"/>
      <c r="Q6" s="1387" t="str">
        <f>IF('Project Information'!AK6="","",'Project Information'!AK6)</f>
        <v/>
      </c>
      <c r="R6" s="1694"/>
    </row>
    <row r="7" spans="1:18" ht="18.75" customHeight="1" x14ac:dyDescent="0.25">
      <c r="A7" s="1834" t="s">
        <v>404</v>
      </c>
      <c r="B7" s="1835"/>
      <c r="C7" s="1387" t="str">
        <f>IF('Project Information'!M15="","",'Project Information'!M15)</f>
        <v/>
      </c>
      <c r="D7" s="1387"/>
      <c r="E7" s="1387"/>
      <c r="F7" s="1387"/>
      <c r="G7" s="1387"/>
      <c r="H7" s="1387" t="s">
        <v>669</v>
      </c>
      <c r="I7" s="1387"/>
      <c r="J7" s="1836"/>
      <c r="K7" s="1836"/>
      <c r="L7" s="1836"/>
      <c r="M7" s="1836"/>
      <c r="N7" s="1837" t="s">
        <v>670</v>
      </c>
      <c r="O7" s="1837"/>
      <c r="P7" s="1836"/>
      <c r="Q7" s="1836"/>
      <c r="R7" s="1838"/>
    </row>
    <row r="8" spans="1:18" ht="18.75" customHeight="1" x14ac:dyDescent="0.25">
      <c r="A8" s="1606" t="s">
        <v>671</v>
      </c>
      <c r="B8" s="1361"/>
      <c r="C8" s="1361"/>
      <c r="D8" s="1361"/>
      <c r="E8" s="1822"/>
      <c r="F8" s="1822"/>
      <c r="G8" s="1822"/>
      <c r="H8" s="1822"/>
      <c r="I8" s="1822"/>
      <c r="J8" s="1361" t="s">
        <v>672</v>
      </c>
      <c r="K8" s="1361"/>
      <c r="L8" s="1361"/>
      <c r="M8" s="1361"/>
      <c r="N8" s="1822"/>
      <c r="O8" s="1822"/>
      <c r="P8" s="1822"/>
      <c r="Q8" s="1822"/>
      <c r="R8" s="1823"/>
    </row>
    <row r="9" spans="1:18" s="155" customFormat="1" ht="13.5" customHeight="1" x14ac:dyDescent="0.2">
      <c r="A9" s="1824" t="s">
        <v>673</v>
      </c>
      <c r="B9" s="1825"/>
      <c r="C9" s="1825"/>
      <c r="D9" s="1825"/>
      <c r="E9" s="1825"/>
      <c r="F9" s="1825"/>
      <c r="G9" s="1825"/>
      <c r="H9" s="1825"/>
      <c r="I9" s="1825"/>
      <c r="J9" s="254"/>
      <c r="K9" s="1767" t="s">
        <v>674</v>
      </c>
      <c r="L9" s="1767"/>
      <c r="M9" s="1767"/>
      <c r="N9" s="1767"/>
      <c r="O9" s="1767"/>
      <c r="P9" s="1767"/>
      <c r="Q9" s="1767"/>
      <c r="R9" s="1768"/>
    </row>
    <row r="10" spans="1:18" s="155" customFormat="1" ht="15" customHeight="1" x14ac:dyDescent="0.25">
      <c r="A10" s="1810" t="s">
        <v>675</v>
      </c>
      <c r="B10" s="1811"/>
      <c r="C10" s="1811"/>
      <c r="D10" s="1811"/>
      <c r="E10" s="1811"/>
      <c r="F10" s="1811"/>
      <c r="G10" s="1811"/>
      <c r="H10" s="1811"/>
      <c r="I10" s="1811"/>
      <c r="J10" s="1811"/>
      <c r="K10" s="1811"/>
      <c r="L10" s="1811"/>
      <c r="M10" s="1811"/>
      <c r="N10" s="1811"/>
      <c r="O10" s="1811"/>
      <c r="P10" s="1811"/>
      <c r="Q10" s="1811"/>
      <c r="R10" s="1812"/>
    </row>
    <row r="11" spans="1:18" s="155" customFormat="1" ht="30" customHeight="1" x14ac:dyDescent="0.2">
      <c r="A11" s="1813" t="s">
        <v>676</v>
      </c>
      <c r="B11" s="1814"/>
      <c r="C11" s="1814"/>
      <c r="D11" s="1815"/>
      <c r="E11" s="1816" t="s">
        <v>677</v>
      </c>
      <c r="F11" s="1817"/>
      <c r="G11" s="1817"/>
      <c r="H11" s="1817"/>
      <c r="I11" s="1817"/>
      <c r="J11" s="1818"/>
      <c r="K11" s="255" t="s">
        <v>678</v>
      </c>
      <c r="L11" s="255" t="s">
        <v>679</v>
      </c>
      <c r="M11" s="1819" t="s">
        <v>680</v>
      </c>
      <c r="N11" s="1820"/>
      <c r="O11" s="1820"/>
      <c r="P11" s="1820"/>
      <c r="Q11" s="1820"/>
      <c r="R11" s="1821"/>
    </row>
    <row r="12" spans="1:18" s="155" customFormat="1" ht="15" customHeight="1" x14ac:dyDescent="0.2">
      <c r="A12" s="1796" t="s">
        <v>681</v>
      </c>
      <c r="B12" s="1797"/>
      <c r="C12" s="1797"/>
      <c r="D12" s="1798"/>
      <c r="E12" s="1786" t="s">
        <v>682</v>
      </c>
      <c r="F12" s="1787"/>
      <c r="G12" s="1787"/>
      <c r="H12" s="1787"/>
      <c r="I12" s="1787"/>
      <c r="J12" s="1788"/>
      <c r="K12" s="256"/>
      <c r="L12" s="256"/>
      <c r="M12" s="1780" t="s">
        <v>683</v>
      </c>
      <c r="N12" s="1781"/>
      <c r="O12" s="1781"/>
      <c r="P12" s="1781"/>
      <c r="Q12" s="1781"/>
      <c r="R12" s="1782"/>
    </row>
    <row r="13" spans="1:18" s="155" customFormat="1" ht="15" customHeight="1" x14ac:dyDescent="0.2">
      <c r="A13" s="1777" t="s">
        <v>684</v>
      </c>
      <c r="B13" s="1778"/>
      <c r="C13" s="1778"/>
      <c r="D13" s="1779"/>
      <c r="E13" s="1674" t="s">
        <v>685</v>
      </c>
      <c r="F13" s="1617"/>
      <c r="G13" s="1617"/>
      <c r="H13" s="1617"/>
      <c r="I13" s="1617"/>
      <c r="J13" s="1741"/>
      <c r="K13" s="257"/>
      <c r="L13" s="257"/>
      <c r="M13" s="1630" t="s">
        <v>686</v>
      </c>
      <c r="N13" s="1189"/>
      <c r="O13" s="1189"/>
      <c r="P13" s="1189"/>
      <c r="Q13" s="1189"/>
      <c r="R13" s="1631"/>
    </row>
    <row r="14" spans="1:18" s="154" customFormat="1" ht="15" customHeight="1" x14ac:dyDescent="0.25">
      <c r="A14" s="1796" t="s">
        <v>687</v>
      </c>
      <c r="B14" s="1797"/>
      <c r="C14" s="1797"/>
      <c r="D14" s="1798"/>
      <c r="E14" s="1742" t="s">
        <v>688</v>
      </c>
      <c r="F14" s="1628"/>
      <c r="G14" s="1628"/>
      <c r="H14" s="1628"/>
      <c r="I14" s="1628"/>
      <c r="J14" s="1803"/>
      <c r="K14" s="256"/>
      <c r="L14" s="256"/>
      <c r="M14" s="1630" t="s">
        <v>689</v>
      </c>
      <c r="N14" s="1189"/>
      <c r="O14" s="1189"/>
      <c r="P14" s="1189"/>
      <c r="Q14" s="1189"/>
      <c r="R14" s="1631"/>
    </row>
    <row r="15" spans="1:18" s="154" customFormat="1" ht="15" customHeight="1" x14ac:dyDescent="0.25">
      <c r="A15" s="1799"/>
      <c r="B15" s="1509"/>
      <c r="C15" s="1509"/>
      <c r="D15" s="1510"/>
      <c r="E15" s="1613" t="s">
        <v>690</v>
      </c>
      <c r="F15" s="1190"/>
      <c r="G15" s="1190"/>
      <c r="H15" s="1190"/>
      <c r="I15" s="1190"/>
      <c r="J15" s="1740"/>
      <c r="K15" s="258"/>
      <c r="L15" s="258"/>
      <c r="M15" s="1800" t="s">
        <v>691</v>
      </c>
      <c r="N15" s="1801"/>
      <c r="O15" s="1801"/>
      <c r="P15" s="1801"/>
      <c r="Q15" s="1801"/>
      <c r="R15" s="1802"/>
    </row>
    <row r="16" spans="1:18" s="154" customFormat="1" ht="15" customHeight="1" x14ac:dyDescent="0.25">
      <c r="A16" s="1799"/>
      <c r="B16" s="1509"/>
      <c r="C16" s="1509"/>
      <c r="D16" s="1510"/>
      <c r="E16" s="1804" t="s">
        <v>692</v>
      </c>
      <c r="F16" s="1805"/>
      <c r="G16" s="1805"/>
      <c r="H16" s="1805"/>
      <c r="I16" s="1805"/>
      <c r="J16" s="1806"/>
      <c r="K16" s="258"/>
      <c r="L16" s="258"/>
      <c r="M16" s="1807" t="s">
        <v>693</v>
      </c>
      <c r="N16" s="1808"/>
      <c r="O16" s="1808"/>
      <c r="P16" s="1808"/>
      <c r="Q16" s="1808"/>
      <c r="R16" s="1809"/>
    </row>
    <row r="17" spans="1:18" s="154" customFormat="1" ht="15" customHeight="1" x14ac:dyDescent="0.25">
      <c r="A17" s="1793" t="s">
        <v>694</v>
      </c>
      <c r="B17" s="1794"/>
      <c r="C17" s="1794"/>
      <c r="D17" s="1795"/>
      <c r="E17" s="1674" t="s">
        <v>695</v>
      </c>
      <c r="F17" s="1617"/>
      <c r="G17" s="1617"/>
      <c r="H17" s="1617"/>
      <c r="I17" s="1617"/>
      <c r="J17" s="1741"/>
      <c r="K17" s="257"/>
      <c r="L17" s="257"/>
      <c r="M17" s="1630" t="s">
        <v>696</v>
      </c>
      <c r="N17" s="1189"/>
      <c r="O17" s="1189"/>
      <c r="P17" s="1189"/>
      <c r="Q17" s="1189"/>
      <c r="R17" s="1631"/>
    </row>
    <row r="18" spans="1:18" s="154" customFormat="1" ht="15" customHeight="1" x14ac:dyDescent="0.25">
      <c r="A18" s="259" t="s">
        <v>697</v>
      </c>
      <c r="B18" s="260"/>
      <c r="C18" s="260"/>
      <c r="D18" s="260"/>
      <c r="E18" s="260"/>
      <c r="F18" s="260"/>
      <c r="G18" s="260"/>
      <c r="H18" s="260"/>
      <c r="I18" s="260"/>
      <c r="J18" s="260"/>
      <c r="K18" s="260"/>
      <c r="L18" s="260"/>
      <c r="M18" s="1764" t="s">
        <v>698</v>
      </c>
      <c r="N18" s="1709"/>
      <c r="O18" s="1709"/>
      <c r="P18" s="1709"/>
      <c r="Q18" s="1709"/>
      <c r="R18" s="1765"/>
    </row>
    <row r="19" spans="1:18" ht="15" customHeight="1" x14ac:dyDescent="0.25">
      <c r="A19" s="1796" t="s">
        <v>699</v>
      </c>
      <c r="B19" s="1797"/>
      <c r="C19" s="1797"/>
      <c r="D19" s="1798"/>
      <c r="E19" s="1786" t="s">
        <v>700</v>
      </c>
      <c r="F19" s="1787"/>
      <c r="G19" s="1787"/>
      <c r="H19" s="1787"/>
      <c r="I19" s="1787"/>
      <c r="J19" s="1788"/>
      <c r="K19" s="256"/>
      <c r="L19" s="256"/>
      <c r="M19" s="1764" t="s">
        <v>701</v>
      </c>
      <c r="N19" s="1709"/>
      <c r="O19" s="1709"/>
      <c r="P19" s="1709"/>
      <c r="Q19" s="1709"/>
      <c r="R19" s="1765"/>
    </row>
    <row r="20" spans="1:18" ht="15" customHeight="1" x14ac:dyDescent="0.25">
      <c r="A20" s="1799"/>
      <c r="B20" s="1509"/>
      <c r="C20" s="1509"/>
      <c r="D20" s="1510"/>
      <c r="E20" s="1790" t="s">
        <v>702</v>
      </c>
      <c r="F20" s="1791"/>
      <c r="G20" s="1791"/>
      <c r="H20" s="1791"/>
      <c r="I20" s="1791"/>
      <c r="J20" s="1792"/>
      <c r="K20" s="258"/>
      <c r="L20" s="258"/>
      <c r="M20" s="1800" t="s">
        <v>703</v>
      </c>
      <c r="N20" s="1801"/>
      <c r="O20" s="1801"/>
      <c r="P20" s="1801"/>
      <c r="Q20" s="1801"/>
      <c r="R20" s="1802"/>
    </row>
    <row r="21" spans="1:18" ht="15" customHeight="1" x14ac:dyDescent="0.25">
      <c r="A21" s="1777" t="s">
        <v>704</v>
      </c>
      <c r="B21" s="1778"/>
      <c r="C21" s="1778"/>
      <c r="D21" s="1779"/>
      <c r="E21" s="1769" t="s">
        <v>705</v>
      </c>
      <c r="F21" s="1770"/>
      <c r="G21" s="1770"/>
      <c r="H21" s="1770"/>
      <c r="I21" s="1770"/>
      <c r="J21" s="1771"/>
      <c r="K21" s="257"/>
      <c r="L21" s="257"/>
      <c r="M21" s="1780" t="s">
        <v>706</v>
      </c>
      <c r="N21" s="1781"/>
      <c r="O21" s="1781"/>
      <c r="P21" s="1781"/>
      <c r="Q21" s="1781"/>
      <c r="R21" s="1782"/>
    </row>
    <row r="22" spans="1:18" ht="15" customHeight="1" x14ac:dyDescent="0.25">
      <c r="A22" s="1705" t="s">
        <v>707</v>
      </c>
      <c r="B22" s="1538"/>
      <c r="C22" s="1538"/>
      <c r="D22" s="1539"/>
      <c r="E22" s="1786" t="s">
        <v>708</v>
      </c>
      <c r="F22" s="1787"/>
      <c r="G22" s="1787"/>
      <c r="H22" s="1787"/>
      <c r="I22" s="1787"/>
      <c r="J22" s="1788"/>
      <c r="K22" s="256"/>
      <c r="L22" s="256"/>
      <c r="M22" s="1630" t="s">
        <v>696</v>
      </c>
      <c r="N22" s="1189"/>
      <c r="O22" s="1189"/>
      <c r="P22" s="1189"/>
      <c r="Q22" s="1189"/>
      <c r="R22" s="1631"/>
    </row>
    <row r="23" spans="1:18" ht="15" customHeight="1" x14ac:dyDescent="0.25">
      <c r="A23" s="1706"/>
      <c r="B23" s="1484"/>
      <c r="C23" s="1484"/>
      <c r="D23" s="1540"/>
      <c r="E23" s="1707" t="s">
        <v>709</v>
      </c>
      <c r="F23" s="1708"/>
      <c r="G23" s="1708"/>
      <c r="H23" s="1708"/>
      <c r="I23" s="1708"/>
      <c r="J23" s="1789"/>
      <c r="K23" s="258"/>
      <c r="L23" s="258"/>
      <c r="M23" s="1764" t="s">
        <v>710</v>
      </c>
      <c r="N23" s="1709"/>
      <c r="O23" s="1709"/>
      <c r="P23" s="1709"/>
      <c r="Q23" s="1709"/>
      <c r="R23" s="1765"/>
    </row>
    <row r="24" spans="1:18" ht="15" customHeight="1" x14ac:dyDescent="0.25">
      <c r="A24" s="1706"/>
      <c r="B24" s="1484"/>
      <c r="C24" s="1484"/>
      <c r="D24" s="1540"/>
      <c r="E24" s="1790" t="s">
        <v>711</v>
      </c>
      <c r="F24" s="1791"/>
      <c r="G24" s="1791"/>
      <c r="H24" s="1791"/>
      <c r="I24" s="1791"/>
      <c r="J24" s="1792"/>
      <c r="K24" s="1763"/>
      <c r="L24" s="1763"/>
      <c r="M24" s="1764" t="s">
        <v>712</v>
      </c>
      <c r="N24" s="1709"/>
      <c r="O24" s="1709"/>
      <c r="P24" s="1709"/>
      <c r="Q24" s="1709"/>
      <c r="R24" s="1765"/>
    </row>
    <row r="25" spans="1:18" ht="15" customHeight="1" x14ac:dyDescent="0.25">
      <c r="A25" s="1706"/>
      <c r="B25" s="1484"/>
      <c r="C25" s="1484"/>
      <c r="D25" s="1540"/>
      <c r="E25" s="1790"/>
      <c r="F25" s="1791"/>
      <c r="G25" s="1791"/>
      <c r="H25" s="1791"/>
      <c r="I25" s="1791"/>
      <c r="J25" s="1792"/>
      <c r="K25" s="1763"/>
      <c r="L25" s="1763"/>
      <c r="M25" s="1766" t="s">
        <v>703</v>
      </c>
      <c r="N25" s="1767"/>
      <c r="O25" s="1767"/>
      <c r="P25" s="1767"/>
      <c r="Q25" s="1767"/>
      <c r="R25" s="1768"/>
    </row>
    <row r="26" spans="1:18" ht="15" customHeight="1" x14ac:dyDescent="0.25">
      <c r="A26" s="1783"/>
      <c r="B26" s="1784"/>
      <c r="C26" s="1784"/>
      <c r="D26" s="1785"/>
      <c r="E26" s="1769" t="s">
        <v>713</v>
      </c>
      <c r="F26" s="1770"/>
      <c r="G26" s="1770"/>
      <c r="H26" s="1770"/>
      <c r="I26" s="1770"/>
      <c r="J26" s="1771"/>
      <c r="K26" s="257"/>
      <c r="L26" s="257"/>
      <c r="M26" s="1772" t="s">
        <v>714</v>
      </c>
      <c r="N26" s="1773"/>
      <c r="O26" s="1773"/>
      <c r="P26" s="1773"/>
      <c r="Q26" s="1773"/>
      <c r="R26" s="1774"/>
    </row>
    <row r="27" spans="1:18" ht="15" customHeight="1" x14ac:dyDescent="0.25">
      <c r="A27" s="1748" t="s">
        <v>715</v>
      </c>
      <c r="B27" s="1749"/>
      <c r="C27" s="1749"/>
      <c r="D27" s="1749"/>
      <c r="E27" s="1749"/>
      <c r="F27" s="1749"/>
      <c r="G27" s="1749"/>
      <c r="H27" s="1750"/>
      <c r="I27" s="1775" t="s">
        <v>716</v>
      </c>
      <c r="J27" s="1775"/>
      <c r="K27" s="1775"/>
      <c r="L27" s="1775"/>
      <c r="M27" s="1775"/>
      <c r="N27" s="1775"/>
      <c r="O27" s="1775"/>
      <c r="P27" s="1775"/>
      <c r="Q27" s="1775"/>
      <c r="R27" s="1776"/>
    </row>
    <row r="28" spans="1:18" ht="15" customHeight="1" x14ac:dyDescent="0.25">
      <c r="A28" s="1748" t="s">
        <v>717</v>
      </c>
      <c r="B28" s="1749"/>
      <c r="C28" s="1749"/>
      <c r="D28" s="1749"/>
      <c r="E28" s="1749"/>
      <c r="F28" s="1749"/>
      <c r="G28" s="1749"/>
      <c r="H28" s="1749"/>
      <c r="I28" s="1749"/>
      <c r="J28" s="1750"/>
      <c r="K28" s="1751" t="s">
        <v>718</v>
      </c>
      <c r="L28" s="1752"/>
      <c r="M28" s="1751" t="s">
        <v>719</v>
      </c>
      <c r="N28" s="1752"/>
      <c r="O28" s="1751" t="s">
        <v>720</v>
      </c>
      <c r="P28" s="1753"/>
      <c r="Q28" s="1753"/>
      <c r="R28" s="1752"/>
    </row>
    <row r="29" spans="1:18" ht="15" customHeight="1" x14ac:dyDescent="0.25">
      <c r="A29" s="1754" t="s">
        <v>721</v>
      </c>
      <c r="B29" s="1755"/>
      <c r="C29" s="1755"/>
      <c r="D29" s="1755"/>
      <c r="E29" s="1755"/>
      <c r="F29" s="1755"/>
      <c r="G29" s="1755"/>
      <c r="H29" s="1755"/>
      <c r="I29" s="1755"/>
      <c r="J29" s="1755"/>
      <c r="K29" s="1755"/>
      <c r="L29" s="1755"/>
      <c r="M29" s="1755"/>
      <c r="N29" s="1755"/>
      <c r="O29" s="1755"/>
      <c r="P29" s="1755"/>
      <c r="Q29" s="1755"/>
      <c r="R29" s="1756"/>
    </row>
    <row r="30" spans="1:18" ht="15" customHeight="1" x14ac:dyDescent="0.25">
      <c r="A30" s="1757"/>
      <c r="B30" s="1758"/>
      <c r="C30" s="1758"/>
      <c r="D30" s="1758"/>
      <c r="E30" s="1758"/>
      <c r="F30" s="1758"/>
      <c r="G30" s="1758"/>
      <c r="H30" s="1758"/>
      <c r="I30" s="1758"/>
      <c r="J30" s="1758"/>
      <c r="K30" s="1758"/>
      <c r="L30" s="1758"/>
      <c r="M30" s="1758"/>
      <c r="N30" s="1758"/>
      <c r="O30" s="1758"/>
      <c r="P30" s="1758"/>
      <c r="Q30" s="1758"/>
      <c r="R30" s="1759"/>
    </row>
    <row r="31" spans="1:18" ht="18.75" customHeight="1" x14ac:dyDescent="0.25">
      <c r="A31" s="1600"/>
      <c r="B31" s="1601"/>
      <c r="C31" s="1601"/>
      <c r="D31" s="1601"/>
      <c r="E31" s="1601"/>
      <c r="F31" s="1601"/>
      <c r="G31" s="1601"/>
      <c r="H31" s="1601"/>
      <c r="I31" s="1601"/>
      <c r="J31" s="1601"/>
      <c r="K31" s="1601"/>
      <c r="L31" s="1601"/>
      <c r="M31" s="1601"/>
      <c r="N31" s="1601"/>
      <c r="O31" s="1601"/>
      <c r="P31" s="1601"/>
      <c r="Q31" s="1601"/>
      <c r="R31" s="1602"/>
    </row>
    <row r="32" spans="1:18" ht="18.75" customHeight="1" x14ac:dyDescent="0.25">
      <c r="A32" s="1760"/>
      <c r="B32" s="1761"/>
      <c r="C32" s="1761"/>
      <c r="D32" s="1761"/>
      <c r="E32" s="1761"/>
      <c r="F32" s="1761"/>
      <c r="G32" s="1761"/>
      <c r="H32" s="1761"/>
      <c r="I32" s="1761"/>
      <c r="J32" s="1761"/>
      <c r="K32" s="1761"/>
      <c r="L32" s="1761"/>
      <c r="M32" s="1761"/>
      <c r="N32" s="1761"/>
      <c r="O32" s="1761"/>
      <c r="P32" s="1761"/>
      <c r="Q32" s="1761"/>
      <c r="R32" s="1762"/>
    </row>
    <row r="33" spans="1:18" s="154" customFormat="1" ht="15" customHeight="1" x14ac:dyDescent="0.25">
      <c r="A33" s="1163" t="s">
        <v>722</v>
      </c>
      <c r="B33" s="1164"/>
      <c r="C33" s="1164"/>
      <c r="D33" s="1164"/>
      <c r="E33" s="1164"/>
      <c r="F33" s="1164"/>
      <c r="G33" s="1164"/>
      <c r="H33" s="1164"/>
      <c r="I33" s="1164"/>
      <c r="J33" s="1164"/>
      <c r="K33" s="1164"/>
      <c r="L33" s="1164"/>
      <c r="M33" s="1164"/>
      <c r="N33" s="1164"/>
      <c r="O33" s="1164"/>
      <c r="P33" s="1164"/>
      <c r="Q33" s="1164"/>
      <c r="R33" s="1165"/>
    </row>
    <row r="34" spans="1:18" ht="20.25" customHeight="1" x14ac:dyDescent="0.25">
      <c r="A34" s="1742" t="s">
        <v>723</v>
      </c>
      <c r="B34" s="1628"/>
      <c r="C34" s="1628"/>
      <c r="D34" s="1628"/>
      <c r="E34" s="1628"/>
      <c r="F34" s="1628"/>
      <c r="G34" s="1628"/>
      <c r="H34" s="1628"/>
      <c r="I34" s="1743"/>
      <c r="J34" s="1744"/>
      <c r="K34" s="261" t="s">
        <v>724</v>
      </c>
      <c r="L34" s="262" t="s">
        <v>725</v>
      </c>
      <c r="M34" s="262" t="s">
        <v>726</v>
      </c>
      <c r="N34" s="262" t="s">
        <v>725</v>
      </c>
      <c r="O34" s="262" t="s">
        <v>727</v>
      </c>
      <c r="P34" s="262" t="s">
        <v>725</v>
      </c>
      <c r="Q34" s="262" t="s">
        <v>728</v>
      </c>
      <c r="R34" s="263" t="s">
        <v>725</v>
      </c>
    </row>
    <row r="35" spans="1:18" x14ac:dyDescent="0.25">
      <c r="A35" s="1613" t="s">
        <v>729</v>
      </c>
      <c r="B35" s="1190"/>
      <c r="C35" s="1190"/>
      <c r="D35" s="1190"/>
      <c r="E35" s="1190"/>
      <c r="F35" s="1190"/>
      <c r="G35" s="1190"/>
      <c r="H35" s="1190"/>
      <c r="I35" s="1190"/>
      <c r="J35" s="1740"/>
      <c r="K35" s="264"/>
      <c r="L35" s="265"/>
      <c r="M35" s="264"/>
      <c r="N35" s="265"/>
      <c r="O35" s="264"/>
      <c r="P35" s="265"/>
      <c r="Q35" s="264"/>
      <c r="R35" s="265"/>
    </row>
    <row r="36" spans="1:18" x14ac:dyDescent="0.25">
      <c r="A36" s="1745" t="s">
        <v>730</v>
      </c>
      <c r="B36" s="1746"/>
      <c r="C36" s="1746"/>
      <c r="D36" s="1746"/>
      <c r="E36" s="1746"/>
      <c r="F36" s="1746"/>
      <c r="G36" s="1746"/>
      <c r="H36" s="1746"/>
      <c r="I36" s="1746"/>
      <c r="J36" s="1747"/>
      <c r="K36" s="266"/>
      <c r="L36" s="267"/>
      <c r="M36" s="266"/>
      <c r="N36" s="268"/>
      <c r="O36" s="266"/>
      <c r="P36" s="267"/>
      <c r="Q36" s="266"/>
      <c r="R36" s="269"/>
    </row>
    <row r="37" spans="1:18" x14ac:dyDescent="0.25">
      <c r="A37" s="1613" t="s">
        <v>731</v>
      </c>
      <c r="B37" s="1190"/>
      <c r="C37" s="1190"/>
      <c r="D37" s="1190"/>
      <c r="E37" s="1190"/>
      <c r="F37" s="1190"/>
      <c r="G37" s="1190"/>
      <c r="H37" s="1190"/>
      <c r="I37" s="1190"/>
      <c r="J37" s="1740"/>
      <c r="K37" s="266"/>
      <c r="L37" s="270"/>
      <c r="M37" s="266"/>
      <c r="N37" s="271"/>
      <c r="O37" s="266"/>
      <c r="P37" s="270"/>
      <c r="Q37" s="266"/>
      <c r="R37" s="272"/>
    </row>
    <row r="38" spans="1:18" x14ac:dyDescent="0.25">
      <c r="A38" s="1613" t="s">
        <v>732</v>
      </c>
      <c r="B38" s="1190"/>
      <c r="C38" s="1190"/>
      <c r="D38" s="1190"/>
      <c r="E38" s="1190"/>
      <c r="F38" s="1190"/>
      <c r="G38" s="1190"/>
      <c r="H38" s="1190"/>
      <c r="I38" s="1190"/>
      <c r="J38" s="1740"/>
      <c r="K38" s="266"/>
      <c r="L38" s="270"/>
      <c r="M38" s="266"/>
      <c r="N38" s="271"/>
      <c r="O38" s="266"/>
      <c r="P38" s="270"/>
      <c r="Q38" s="266"/>
      <c r="R38" s="272"/>
    </row>
    <row r="39" spans="1:18" x14ac:dyDescent="0.25">
      <c r="A39" s="1613" t="s">
        <v>733</v>
      </c>
      <c r="B39" s="1190"/>
      <c r="C39" s="1190"/>
      <c r="D39" s="1190"/>
      <c r="E39" s="1190"/>
      <c r="F39" s="1190"/>
      <c r="G39" s="1190"/>
      <c r="H39" s="1190"/>
      <c r="I39" s="1190"/>
      <c r="J39" s="1740"/>
      <c r="K39" s="266"/>
      <c r="L39" s="270"/>
      <c r="M39" s="266"/>
      <c r="N39" s="271"/>
      <c r="O39" s="266"/>
      <c r="P39" s="270"/>
      <c r="Q39" s="266"/>
      <c r="R39" s="272"/>
    </row>
    <row r="40" spans="1:18" x14ac:dyDescent="0.25">
      <c r="A40" s="1674" t="s">
        <v>734</v>
      </c>
      <c r="B40" s="1617"/>
      <c r="C40" s="1617"/>
      <c r="D40" s="1617"/>
      <c r="E40" s="1617"/>
      <c r="F40" s="1617"/>
      <c r="G40" s="1617"/>
      <c r="H40" s="1617"/>
      <c r="I40" s="1617"/>
      <c r="J40" s="1741"/>
      <c r="K40" s="273"/>
      <c r="L40" s="274"/>
      <c r="M40" s="273"/>
      <c r="N40" s="275"/>
      <c r="O40" s="273"/>
      <c r="P40" s="274"/>
      <c r="Q40" s="273"/>
      <c r="R40" s="276"/>
    </row>
    <row r="41" spans="1:18" x14ac:dyDescent="0.25">
      <c r="A41" s="1710"/>
      <c r="B41" s="1711"/>
      <c r="C41" s="1711"/>
      <c r="D41" s="1711"/>
      <c r="E41" s="1711"/>
      <c r="F41" s="1711"/>
      <c r="G41" s="1711"/>
      <c r="H41" s="1711"/>
      <c r="I41" s="1711"/>
      <c r="J41" s="1711"/>
      <c r="K41" s="1711"/>
      <c r="L41" s="1711"/>
      <c r="M41" s="1711"/>
      <c r="N41" s="1711"/>
      <c r="O41" s="1711"/>
      <c r="P41" s="1711"/>
      <c r="Q41" s="1711"/>
      <c r="R41" s="1712"/>
    </row>
    <row r="42" spans="1:18" ht="15.75" thickBot="1" x14ac:dyDescent="0.3">
      <c r="A42" s="1662"/>
      <c r="B42" s="1663"/>
      <c r="C42" s="1663"/>
      <c r="D42" s="1663"/>
      <c r="E42" s="1663"/>
      <c r="F42" s="1663"/>
      <c r="G42" s="1663"/>
      <c r="H42" s="1663"/>
      <c r="I42" s="1663"/>
      <c r="J42" s="1663"/>
      <c r="K42" s="1663"/>
      <c r="L42" s="1663"/>
      <c r="M42" s="1663"/>
      <c r="N42" s="1663"/>
      <c r="O42" s="1663"/>
      <c r="P42" s="1663"/>
      <c r="Q42" s="1663"/>
      <c r="R42" s="1664"/>
    </row>
    <row r="43" spans="1:18" ht="15.75" customHeight="1" x14ac:dyDescent="0.25">
      <c r="A43" s="1665" t="s">
        <v>735</v>
      </c>
      <c r="B43" s="1666"/>
      <c r="C43" s="1666"/>
      <c r="D43" s="1666"/>
      <c r="E43" s="1666"/>
      <c r="F43" s="1666"/>
      <c r="G43" s="1666"/>
      <c r="H43" s="1666"/>
      <c r="I43" s="1666"/>
      <c r="J43" s="1666"/>
      <c r="K43" s="1666"/>
      <c r="L43" s="1666"/>
      <c r="M43" s="1666"/>
      <c r="N43" s="1666"/>
      <c r="O43" s="1666"/>
      <c r="P43" s="1666"/>
      <c r="Q43" s="1666"/>
      <c r="R43" s="1667"/>
    </row>
    <row r="44" spans="1:18" ht="15.75" customHeight="1" x14ac:dyDescent="0.25">
      <c r="A44" s="1592" t="s">
        <v>736</v>
      </c>
      <c r="B44" s="1593"/>
      <c r="C44" s="1593"/>
      <c r="D44" s="1593"/>
      <c r="E44" s="1593"/>
      <c r="F44" s="1593"/>
      <c r="G44" s="1593"/>
      <c r="H44" s="1593"/>
      <c r="I44" s="1593"/>
      <c r="J44" s="1593"/>
      <c r="K44" s="1593"/>
      <c r="L44" s="1593"/>
      <c r="M44" s="1593"/>
      <c r="N44" s="1593"/>
      <c r="O44" s="1593"/>
      <c r="P44" s="1593"/>
      <c r="Q44" s="1668" t="s">
        <v>737</v>
      </c>
      <c r="R44" s="1669"/>
    </row>
    <row r="45" spans="1:18" s="152" customFormat="1" ht="23.25" x14ac:dyDescent="0.35">
      <c r="A45" s="1670" t="str">
        <f>A1</f>
        <v>Ameren Illinois Energy Efficiency Program</v>
      </c>
      <c r="B45" s="1671"/>
      <c r="C45" s="1671"/>
      <c r="D45" s="1671"/>
      <c r="E45" s="1671"/>
      <c r="F45" s="1671"/>
      <c r="G45" s="1671"/>
      <c r="H45" s="1671"/>
      <c r="I45" s="1671"/>
      <c r="J45" s="1671"/>
      <c r="K45" s="1671"/>
      <c r="L45" s="1671"/>
      <c r="M45" s="1671"/>
      <c r="N45" s="1671"/>
      <c r="O45" s="1671"/>
      <c r="P45" s="1671"/>
      <c r="Q45" s="1671"/>
      <c r="R45" s="1672"/>
    </row>
    <row r="46" spans="1:18" s="153" customFormat="1" ht="20.25" x14ac:dyDescent="0.3">
      <c r="A46" s="1654" t="str">
        <f>A2</f>
        <v>Energy Audit Diagnostic Test Form</v>
      </c>
      <c r="B46" s="1655"/>
      <c r="C46" s="1655"/>
      <c r="D46" s="1655"/>
      <c r="E46" s="1655"/>
      <c r="F46" s="1655"/>
      <c r="G46" s="1655"/>
      <c r="H46" s="1655"/>
      <c r="I46" s="1655"/>
      <c r="J46" s="1655"/>
      <c r="K46" s="1655"/>
      <c r="L46" s="1655"/>
      <c r="M46" s="1655"/>
      <c r="N46" s="1655"/>
      <c r="O46" s="1655"/>
      <c r="P46" s="1655"/>
      <c r="Q46" s="1655"/>
      <c r="R46" s="1656"/>
    </row>
    <row r="47" spans="1:18" ht="15" customHeight="1" x14ac:dyDescent="0.25">
      <c r="A47" s="277"/>
      <c r="B47" s="278" t="s">
        <v>404</v>
      </c>
      <c r="C47" s="1657" t="e">
        <f>IF(#REF!="","",#REF!)</f>
        <v>#REF!</v>
      </c>
      <c r="D47" s="1657"/>
      <c r="E47" s="1657"/>
      <c r="F47" s="1657"/>
      <c r="G47" s="279"/>
      <c r="H47" s="280"/>
      <c r="I47" s="281" t="s">
        <v>738</v>
      </c>
      <c r="J47" s="1657" t="s">
        <v>862</v>
      </c>
      <c r="K47" s="1657"/>
      <c r="L47" s="1657"/>
      <c r="M47" s="1657"/>
      <c r="N47" s="1657"/>
      <c r="O47" s="1657"/>
      <c r="P47" s="1657"/>
      <c r="Q47" s="1657"/>
      <c r="R47" s="1658"/>
    </row>
    <row r="48" spans="1:18" s="154" customFormat="1" ht="15" customHeight="1" x14ac:dyDescent="0.25">
      <c r="A48" s="1163" t="s">
        <v>739</v>
      </c>
      <c r="B48" s="1164"/>
      <c r="C48" s="1164"/>
      <c r="D48" s="1164"/>
      <c r="E48" s="1164"/>
      <c r="F48" s="1164"/>
      <c r="G48" s="1164"/>
      <c r="H48" s="1164"/>
      <c r="I48" s="1164"/>
      <c r="J48" s="1164"/>
      <c r="K48" s="1164"/>
      <c r="L48" s="1164"/>
      <c r="M48" s="1164"/>
      <c r="N48" s="1164"/>
      <c r="O48" s="1164"/>
      <c r="P48" s="1164"/>
      <c r="Q48" s="1164"/>
      <c r="R48" s="1165"/>
    </row>
    <row r="49" spans="1:18" s="154" customFormat="1" ht="15" customHeight="1" x14ac:dyDescent="0.25">
      <c r="A49" s="1713" t="s">
        <v>740</v>
      </c>
      <c r="B49" s="1714"/>
      <c r="C49" s="1714"/>
      <c r="D49" s="1714"/>
      <c r="E49" s="1714"/>
      <c r="F49" s="1714"/>
      <c r="G49" s="1714"/>
      <c r="H49" s="1714"/>
      <c r="I49" s="1714"/>
      <c r="J49" s="1714"/>
      <c r="K49" s="1714"/>
      <c r="L49" s="1714"/>
      <c r="M49" s="1714"/>
      <c r="N49" s="1714"/>
      <c r="O49" s="1714"/>
      <c r="P49" s="1714"/>
      <c r="Q49" s="1714"/>
      <c r="R49" s="1715"/>
    </row>
    <row r="50" spans="1:18" x14ac:dyDescent="0.25">
      <c r="A50" s="1737"/>
      <c r="B50" s="1738"/>
      <c r="C50" s="1738"/>
      <c r="D50" s="1739"/>
      <c r="E50" s="1676" t="s">
        <v>741</v>
      </c>
      <c r="F50" s="1677"/>
      <c r="G50" s="1676" t="s">
        <v>742</v>
      </c>
      <c r="H50" s="1644"/>
      <c r="I50" s="1644"/>
      <c r="J50" s="1644"/>
      <c r="K50" s="1644"/>
      <c r="L50" s="1677"/>
      <c r="M50" s="1676" t="s">
        <v>743</v>
      </c>
      <c r="N50" s="1644"/>
      <c r="O50" s="1644"/>
      <c r="P50" s="1644"/>
      <c r="Q50" s="1644"/>
      <c r="R50" s="1677"/>
    </row>
    <row r="51" spans="1:18" s="6" customFormat="1" x14ac:dyDescent="0.25">
      <c r="A51" s="1729"/>
      <c r="B51" s="1731" t="s">
        <v>744</v>
      </c>
      <c r="C51" s="1732"/>
      <c r="D51" s="1735" t="s">
        <v>745</v>
      </c>
      <c r="E51" s="1678" t="s">
        <v>746</v>
      </c>
      <c r="F51" s="1673"/>
      <c r="G51" s="282" t="s">
        <v>747</v>
      </c>
      <c r="H51" s="283" t="s">
        <v>748</v>
      </c>
      <c r="I51" s="1364" t="s">
        <v>749</v>
      </c>
      <c r="J51" s="1364"/>
      <c r="K51" s="283" t="s">
        <v>750</v>
      </c>
      <c r="L51" s="284"/>
      <c r="M51" s="282" t="s">
        <v>747</v>
      </c>
      <c r="N51" s="283" t="s">
        <v>748</v>
      </c>
      <c r="O51" s="1364" t="s">
        <v>749</v>
      </c>
      <c r="P51" s="1364"/>
      <c r="Q51" s="283" t="s">
        <v>750</v>
      </c>
      <c r="R51" s="284"/>
    </row>
    <row r="52" spans="1:18" s="6" customFormat="1" x14ac:dyDescent="0.25">
      <c r="A52" s="1730"/>
      <c r="B52" s="1733"/>
      <c r="C52" s="1734"/>
      <c r="D52" s="1736"/>
      <c r="E52" s="282" t="s">
        <v>751</v>
      </c>
      <c r="F52" s="285" t="s">
        <v>752</v>
      </c>
      <c r="G52" s="282" t="s">
        <v>753</v>
      </c>
      <c r="H52" s="283" t="s">
        <v>753</v>
      </c>
      <c r="I52" s="283" t="s">
        <v>754</v>
      </c>
      <c r="J52" s="283" t="s">
        <v>753</v>
      </c>
      <c r="K52" s="286" t="s">
        <v>755</v>
      </c>
      <c r="L52" s="285" t="s">
        <v>756</v>
      </c>
      <c r="M52" s="282" t="s">
        <v>753</v>
      </c>
      <c r="N52" s="283" t="s">
        <v>753</v>
      </c>
      <c r="O52" s="283" t="s">
        <v>754</v>
      </c>
      <c r="P52" s="283" t="s">
        <v>753</v>
      </c>
      <c r="Q52" s="286" t="s">
        <v>755</v>
      </c>
      <c r="R52" s="285" t="s">
        <v>756</v>
      </c>
    </row>
    <row r="53" spans="1:18" x14ac:dyDescent="0.25">
      <c r="A53" s="1725" t="s">
        <v>757</v>
      </c>
      <c r="B53" s="1726"/>
      <c r="C53" s="287"/>
      <c r="D53" s="287"/>
      <c r="E53" s="288"/>
      <c r="F53" s="289"/>
      <c r="G53" s="290"/>
      <c r="H53" s="291"/>
      <c r="I53" s="292" t="str">
        <f>IFERROR(IF(H53&gt;20.9,9999,IF(OR(G53="",H53=""),"",(20.9/(20.9-H53)*G53))),9999)</f>
        <v/>
      </c>
      <c r="J53" s="293"/>
      <c r="K53" s="294"/>
      <c r="L53" s="295"/>
      <c r="M53" s="290"/>
      <c r="N53" s="291"/>
      <c r="O53" s="292" t="str">
        <f>IFERROR(IF(N53&gt;20.9,9999,IF(OR(M53="",N53=""),"",(20.9/(20.9-N53)*M53))),9999)</f>
        <v/>
      </c>
      <c r="P53" s="293"/>
      <c r="Q53" s="294"/>
      <c r="R53" s="295"/>
    </row>
    <row r="54" spans="1:18" x14ac:dyDescent="0.25">
      <c r="A54" s="1630" t="s">
        <v>758</v>
      </c>
      <c r="B54" s="1631"/>
      <c r="C54" s="287"/>
      <c r="D54" s="287"/>
      <c r="E54" s="288"/>
      <c r="F54" s="289"/>
      <c r="G54" s="290"/>
      <c r="H54" s="291"/>
      <c r="I54" s="292" t="str">
        <f>IFERROR(IF(H54&gt;20.9,9999,IF(OR(G54="",H54=""),"",(20.9/(20.9-H54)*G54))),9999)</f>
        <v/>
      </c>
      <c r="J54" s="293"/>
      <c r="K54" s="294"/>
      <c r="L54" s="295"/>
      <c r="M54" s="290"/>
      <c r="N54" s="291"/>
      <c r="O54" s="292" t="str">
        <f>IFERROR(IF(N54&gt;20.9,9999,IF(OR(M54="",N54=""),"",(20.9/(20.9-N54)*M54))),9999)</f>
        <v/>
      </c>
      <c r="P54" s="293"/>
      <c r="Q54" s="294"/>
      <c r="R54" s="295"/>
    </row>
    <row r="55" spans="1:18" x14ac:dyDescent="0.25">
      <c r="A55" s="1630" t="s">
        <v>18</v>
      </c>
      <c r="B55" s="1631"/>
      <c r="C55" s="287"/>
      <c r="D55" s="287"/>
      <c r="E55" s="288"/>
      <c r="F55" s="289"/>
      <c r="G55" s="290"/>
      <c r="H55" s="291"/>
      <c r="I55" s="292" t="str">
        <f>IFERROR(IF(H55&gt;20.9,9999,IF(OR(G55="",H55=""),"",(20.9/(20.9-H55)*G55))),9999)</f>
        <v/>
      </c>
      <c r="J55" s="293"/>
      <c r="K55" s="294"/>
      <c r="L55" s="295"/>
      <c r="M55" s="290"/>
      <c r="N55" s="291"/>
      <c r="O55" s="292" t="str">
        <f>IFERROR(IF(N55&gt;20.9,9999,IF(OR(M55="",N55=""),"",(20.9/(20.9-N55)*M55))),9999)</f>
        <v/>
      </c>
      <c r="P55" s="293"/>
      <c r="Q55" s="294"/>
      <c r="R55" s="295"/>
    </row>
    <row r="56" spans="1:18" x14ac:dyDescent="0.25">
      <c r="A56" s="1630" t="s">
        <v>18</v>
      </c>
      <c r="B56" s="1631"/>
      <c r="C56" s="296"/>
      <c r="D56" s="287"/>
      <c r="E56" s="297"/>
      <c r="F56" s="289"/>
      <c r="G56" s="290"/>
      <c r="H56" s="291"/>
      <c r="I56" s="292" t="str">
        <f>IFERROR(IF(H56&gt;20.9,9999,IF(OR(G56="",H56=""),"",(20.9/(20.9-H56)*G56))),9999)</f>
        <v/>
      </c>
      <c r="J56" s="293"/>
      <c r="K56" s="294"/>
      <c r="L56" s="295"/>
      <c r="M56" s="290"/>
      <c r="N56" s="291"/>
      <c r="O56" s="292" t="str">
        <f>IFERROR(IF(N56&gt;20.9,9999,IF(OR(M56="",N56=""),"",(20.9/(20.9-N56)*M56))),9999)</f>
        <v/>
      </c>
      <c r="P56" s="293"/>
      <c r="Q56" s="294"/>
      <c r="R56" s="295"/>
    </row>
    <row r="57" spans="1:18" x14ac:dyDescent="0.25">
      <c r="A57" s="1727" t="s">
        <v>759</v>
      </c>
      <c r="B57" s="1728"/>
      <c r="C57" s="1710"/>
      <c r="D57" s="1711"/>
      <c r="E57" s="1711"/>
      <c r="F57" s="1712"/>
      <c r="G57" s="298"/>
      <c r="H57" s="1710"/>
      <c r="I57" s="1711"/>
      <c r="J57" s="1712"/>
      <c r="K57" s="299"/>
      <c r="L57" s="300"/>
      <c r="M57" s="298"/>
      <c r="N57" s="1710"/>
      <c r="O57" s="1711"/>
      <c r="P57" s="1712"/>
      <c r="Q57" s="299"/>
      <c r="R57" s="300"/>
    </row>
    <row r="58" spans="1:18" s="154" customFormat="1" ht="15" customHeight="1" x14ac:dyDescent="0.25">
      <c r="A58" s="1713" t="s">
        <v>760</v>
      </c>
      <c r="B58" s="1714"/>
      <c r="C58" s="1714"/>
      <c r="D58" s="1714"/>
      <c r="E58" s="1714"/>
      <c r="F58" s="1714"/>
      <c r="G58" s="1714"/>
      <c r="H58" s="1714"/>
      <c r="I58" s="1714"/>
      <c r="J58" s="1714"/>
      <c r="K58" s="1714"/>
      <c r="L58" s="1714"/>
      <c r="M58" s="1714"/>
      <c r="N58" s="1714"/>
      <c r="O58" s="1714"/>
      <c r="P58" s="1714"/>
      <c r="Q58" s="1714"/>
      <c r="R58" s="1715"/>
    </row>
    <row r="59" spans="1:18" ht="13.5" customHeight="1" x14ac:dyDescent="0.25">
      <c r="A59" s="1716" t="s">
        <v>761</v>
      </c>
      <c r="B59" s="1433"/>
      <c r="C59" s="1433"/>
      <c r="D59" s="1433"/>
      <c r="E59" s="1433"/>
      <c r="F59" s="1433"/>
      <c r="G59" s="1433"/>
      <c r="H59" s="1433"/>
      <c r="I59" s="1433"/>
      <c r="J59" s="1433"/>
      <c r="K59" s="1433"/>
      <c r="L59" s="1433"/>
      <c r="M59" s="1433"/>
      <c r="N59" s="1433"/>
      <c r="O59" s="1433"/>
      <c r="P59" s="1433"/>
      <c r="Q59" s="1433"/>
      <c r="R59" s="1717"/>
    </row>
    <row r="60" spans="1:18" ht="17.25" customHeight="1" x14ac:dyDescent="0.25">
      <c r="A60" s="1718"/>
      <c r="B60" s="1719"/>
      <c r="C60" s="1719"/>
      <c r="D60" s="1719"/>
      <c r="E60" s="1719"/>
      <c r="F60" s="1719"/>
      <c r="G60" s="1719"/>
      <c r="H60" s="1719"/>
      <c r="I60" s="1719"/>
      <c r="J60" s="1719"/>
      <c r="K60" s="1719"/>
      <c r="L60" s="1719"/>
      <c r="M60" s="1719"/>
      <c r="N60" s="1719"/>
      <c r="O60" s="1719"/>
      <c r="P60" s="1719"/>
      <c r="Q60" s="1719"/>
      <c r="R60" s="1720"/>
    </row>
    <row r="61" spans="1:18" ht="17.25" customHeight="1" x14ac:dyDescent="0.25">
      <c r="A61" s="1718"/>
      <c r="B61" s="1719"/>
      <c r="C61" s="1719"/>
      <c r="D61" s="1719"/>
      <c r="E61" s="1719"/>
      <c r="F61" s="1719"/>
      <c r="G61" s="1719"/>
      <c r="H61" s="1719"/>
      <c r="I61" s="1719"/>
      <c r="J61" s="1719"/>
      <c r="K61" s="1719"/>
      <c r="L61" s="1719"/>
      <c r="M61" s="1719"/>
      <c r="N61" s="1719"/>
      <c r="O61" s="1719"/>
      <c r="P61" s="1719"/>
      <c r="Q61" s="1719"/>
      <c r="R61" s="1720"/>
    </row>
    <row r="62" spans="1:18" ht="17.25" customHeight="1" x14ac:dyDescent="0.25">
      <c r="A62" s="1721"/>
      <c r="B62" s="1722"/>
      <c r="C62" s="1722"/>
      <c r="D62" s="1722"/>
      <c r="E62" s="1722"/>
      <c r="F62" s="1722"/>
      <c r="G62" s="1722"/>
      <c r="H62" s="1722"/>
      <c r="I62" s="1722"/>
      <c r="J62" s="1722"/>
      <c r="K62" s="1722"/>
      <c r="L62" s="1722"/>
      <c r="M62" s="1722"/>
      <c r="N62" s="1722"/>
      <c r="O62" s="1722"/>
      <c r="P62" s="1722"/>
      <c r="Q62" s="1722"/>
      <c r="R62" s="1723"/>
    </row>
    <row r="63" spans="1:18" ht="15" customHeight="1" x14ac:dyDescent="0.25">
      <c r="A63" s="1700" t="s">
        <v>762</v>
      </c>
      <c r="B63" s="1701"/>
      <c r="C63" s="1701"/>
      <c r="D63" s="1701"/>
      <c r="E63" s="1701"/>
      <c r="F63" s="1701"/>
      <c r="G63" s="1701"/>
      <c r="H63" s="1701"/>
      <c r="I63" s="1701"/>
      <c r="J63" s="1701"/>
      <c r="K63" s="1701"/>
      <c r="L63" s="1701"/>
      <c r="M63" s="1701"/>
      <c r="N63" s="1701"/>
      <c r="O63" s="1701"/>
      <c r="P63" s="1701"/>
      <c r="Q63" s="1701"/>
      <c r="R63" s="1724"/>
    </row>
    <row r="64" spans="1:18" ht="13.5" customHeight="1" x14ac:dyDescent="0.25">
      <c r="A64" s="1630" t="s">
        <v>763</v>
      </c>
      <c r="B64" s="1189"/>
      <c r="C64" s="1189"/>
      <c r="D64" s="1189"/>
      <c r="E64" s="1189"/>
      <c r="F64" s="1189"/>
      <c r="G64" s="1189"/>
      <c r="H64" s="1189"/>
      <c r="I64" s="1189"/>
      <c r="J64" s="1189"/>
      <c r="K64" s="1189"/>
      <c r="L64" s="1189"/>
      <c r="M64" s="1189"/>
      <c r="N64" s="1189"/>
      <c r="O64" s="1189"/>
      <c r="P64" s="1189"/>
      <c r="Q64" s="1189"/>
      <c r="R64" s="1631"/>
    </row>
    <row r="65" spans="1:18" ht="13.5" customHeight="1" x14ac:dyDescent="0.25">
      <c r="A65" s="1630" t="s">
        <v>764</v>
      </c>
      <c r="B65" s="1189"/>
      <c r="C65" s="1189"/>
      <c r="D65" s="1189"/>
      <c r="E65" s="1189"/>
      <c r="F65" s="1189"/>
      <c r="G65" s="1189"/>
      <c r="H65" s="1189"/>
      <c r="I65" s="1189"/>
      <c r="J65" s="1189"/>
      <c r="K65" s="1189"/>
      <c r="L65" s="1189"/>
      <c r="M65" s="1189"/>
      <c r="N65" s="1189"/>
      <c r="O65" s="1189"/>
      <c r="P65" s="1189"/>
      <c r="Q65" s="1189"/>
      <c r="R65" s="1631"/>
    </row>
    <row r="66" spans="1:18" ht="19.5" customHeight="1" x14ac:dyDescent="0.25">
      <c r="A66" s="1614" t="s">
        <v>765</v>
      </c>
      <c r="B66" s="1186"/>
      <c r="C66" s="1186"/>
      <c r="D66" s="1186"/>
      <c r="E66" s="1186"/>
      <c r="F66" s="1186"/>
      <c r="G66" s="1186"/>
      <c r="H66" s="1186"/>
      <c r="I66" s="1186"/>
      <c r="J66" s="1186"/>
      <c r="K66" s="1186"/>
      <c r="L66" s="1186"/>
      <c r="M66" s="1186"/>
      <c r="N66" s="1186"/>
      <c r="O66" s="1186"/>
      <c r="P66" s="1186"/>
      <c r="Q66" s="1186"/>
      <c r="R66" s="1695"/>
    </row>
    <row r="67" spans="1:18" ht="13.5" customHeight="1" x14ac:dyDescent="0.25">
      <c r="A67" s="1532" t="s">
        <v>766</v>
      </c>
      <c r="B67" s="1359"/>
      <c r="C67" s="1359"/>
      <c r="D67" s="1359"/>
      <c r="E67" s="1359"/>
      <c r="F67" s="1359"/>
      <c r="G67" s="1359"/>
      <c r="H67" s="1359"/>
      <c r="I67" s="1359"/>
      <c r="J67" s="1359"/>
      <c r="K67" s="1359"/>
      <c r="L67" s="1359"/>
      <c r="M67" s="1359"/>
      <c r="N67" s="1359"/>
      <c r="O67" s="1359"/>
      <c r="P67" s="1359"/>
      <c r="Q67" s="1359"/>
      <c r="R67" s="1696"/>
    </row>
    <row r="68" spans="1:18" ht="13.5" customHeight="1" x14ac:dyDescent="0.25">
      <c r="A68" s="1697" t="s">
        <v>767</v>
      </c>
      <c r="B68" s="1698"/>
      <c r="C68" s="1698"/>
      <c r="D68" s="1698"/>
      <c r="E68" s="1698"/>
      <c r="F68" s="1698"/>
      <c r="G68" s="1698"/>
      <c r="H68" s="1698"/>
      <c r="I68" s="1698"/>
      <c r="J68" s="1698"/>
      <c r="K68" s="1698"/>
      <c r="L68" s="1698"/>
      <c r="M68" s="1698"/>
      <c r="N68" s="1698"/>
      <c r="O68" s="1698"/>
      <c r="P68" s="1698"/>
      <c r="Q68" s="1698"/>
      <c r="R68" s="1699"/>
    </row>
    <row r="69" spans="1:18" ht="15" customHeight="1" x14ac:dyDescent="0.25">
      <c r="A69" s="1700" t="s">
        <v>768</v>
      </c>
      <c r="B69" s="1701"/>
      <c r="C69" s="1701"/>
      <c r="D69" s="1701"/>
      <c r="E69" s="1701"/>
      <c r="F69" s="1701"/>
      <c r="G69" s="1701"/>
      <c r="H69" s="1701"/>
      <c r="I69" s="1701"/>
      <c r="J69" s="1701"/>
      <c r="K69" s="1701"/>
      <c r="L69" s="1702" t="s">
        <v>769</v>
      </c>
      <c r="M69" s="1703"/>
      <c r="N69" s="1703"/>
      <c r="O69" s="1704"/>
      <c r="P69" s="1705" t="s">
        <v>770</v>
      </c>
      <c r="Q69" s="1538"/>
      <c r="R69" s="1539"/>
    </row>
    <row r="70" spans="1:18" ht="14.1" customHeight="1" x14ac:dyDescent="0.25">
      <c r="A70" s="1707" t="s">
        <v>771</v>
      </c>
      <c r="B70" s="1708"/>
      <c r="C70" s="1708"/>
      <c r="D70" s="1708"/>
      <c r="E70" s="1708"/>
      <c r="F70" s="1708"/>
      <c r="G70" s="1708"/>
      <c r="H70" s="1709" t="s">
        <v>772</v>
      </c>
      <c r="I70" s="1709"/>
      <c r="J70" s="1709"/>
      <c r="K70" s="1709"/>
      <c r="L70" s="1690" t="s">
        <v>773</v>
      </c>
      <c r="M70" s="1481"/>
      <c r="N70" s="1481"/>
      <c r="O70" s="1691"/>
      <c r="P70" s="1706"/>
      <c r="Q70" s="1484"/>
      <c r="R70" s="1540"/>
    </row>
    <row r="71" spans="1:18" ht="14.1" customHeight="1" x14ac:dyDescent="0.25">
      <c r="A71" s="1613" t="s">
        <v>774</v>
      </c>
      <c r="B71" s="1190"/>
      <c r="C71" s="1190"/>
      <c r="D71" s="1190"/>
      <c r="E71" s="1190"/>
      <c r="F71" s="1190"/>
      <c r="G71" s="1190"/>
      <c r="H71" s="1189" t="s">
        <v>775</v>
      </c>
      <c r="I71" s="1189"/>
      <c r="J71" s="1189"/>
      <c r="K71" s="1189"/>
      <c r="L71" s="301">
        <v>0.44</v>
      </c>
      <c r="M71" s="1364" t="s">
        <v>776</v>
      </c>
      <c r="N71" s="1364"/>
      <c r="O71" s="1673"/>
      <c r="P71" s="1692" t="s">
        <v>777</v>
      </c>
      <c r="Q71" s="1693"/>
      <c r="R71" s="1694" t="s">
        <v>778</v>
      </c>
    </row>
    <row r="72" spans="1:18" ht="14.1" customHeight="1" x14ac:dyDescent="0.25">
      <c r="A72" s="1613" t="s">
        <v>69</v>
      </c>
      <c r="B72" s="1190"/>
      <c r="C72" s="1190"/>
      <c r="D72" s="1190"/>
      <c r="E72" s="1190"/>
      <c r="F72" s="1190"/>
      <c r="G72" s="1190"/>
      <c r="H72" s="1189" t="s">
        <v>775</v>
      </c>
      <c r="I72" s="1189"/>
      <c r="J72" s="1189"/>
      <c r="K72" s="1189"/>
      <c r="L72" s="301">
        <v>0.47</v>
      </c>
      <c r="M72" s="1364" t="s">
        <v>779</v>
      </c>
      <c r="N72" s="1364"/>
      <c r="O72" s="1673"/>
      <c r="P72" s="1692"/>
      <c r="Q72" s="1693"/>
      <c r="R72" s="1694"/>
    </row>
    <row r="73" spans="1:18" ht="14.1" customHeight="1" x14ac:dyDescent="0.25">
      <c r="A73" s="1613" t="s">
        <v>780</v>
      </c>
      <c r="B73" s="1190"/>
      <c r="C73" s="1190"/>
      <c r="D73" s="1190"/>
      <c r="E73" s="1190"/>
      <c r="F73" s="1190"/>
      <c r="G73" s="1190"/>
      <c r="H73" s="1189" t="s">
        <v>775</v>
      </c>
      <c r="I73" s="1189"/>
      <c r="J73" s="1189"/>
      <c r="K73" s="1189"/>
      <c r="L73" s="301">
        <v>0.48</v>
      </c>
      <c r="M73" s="1364" t="s">
        <v>781</v>
      </c>
      <c r="N73" s="1364"/>
      <c r="O73" s="1673"/>
      <c r="P73" s="1678">
        <v>1</v>
      </c>
      <c r="Q73" s="1364"/>
      <c r="R73" s="302">
        <v>1</v>
      </c>
    </row>
    <row r="74" spans="1:18" ht="14.1" customHeight="1" x14ac:dyDescent="0.25">
      <c r="A74" s="1613" t="s">
        <v>782</v>
      </c>
      <c r="B74" s="1190"/>
      <c r="C74" s="1190"/>
      <c r="D74" s="1190"/>
      <c r="E74" s="1190"/>
      <c r="F74" s="1190"/>
      <c r="G74" s="1190"/>
      <c r="H74" s="1189" t="s">
        <v>775</v>
      </c>
      <c r="I74" s="1189"/>
      <c r="J74" s="1189"/>
      <c r="K74" s="1189"/>
      <c r="L74" s="301">
        <v>0.51</v>
      </c>
      <c r="M74" s="1364" t="s">
        <v>783</v>
      </c>
      <c r="N74" s="1364"/>
      <c r="O74" s="1673"/>
      <c r="P74" s="1678">
        <v>1.5</v>
      </c>
      <c r="Q74" s="1364"/>
      <c r="R74" s="302">
        <v>1.18</v>
      </c>
    </row>
    <row r="75" spans="1:18" ht="14.1" customHeight="1" x14ac:dyDescent="0.25">
      <c r="A75" s="1613" t="s">
        <v>784</v>
      </c>
      <c r="B75" s="1190"/>
      <c r="C75" s="1190"/>
      <c r="D75" s="1190"/>
      <c r="E75" s="1190"/>
      <c r="F75" s="1190"/>
      <c r="G75" s="1190"/>
      <c r="H75" s="1189" t="s">
        <v>785</v>
      </c>
      <c r="I75" s="1189"/>
      <c r="J75" s="1189"/>
      <c r="K75" s="1189"/>
      <c r="L75" s="301">
        <v>0.51</v>
      </c>
      <c r="M75" s="1364" t="s">
        <v>786</v>
      </c>
      <c r="N75" s="1364"/>
      <c r="O75" s="1673"/>
      <c r="P75" s="1678">
        <v>2</v>
      </c>
      <c r="Q75" s="1364"/>
      <c r="R75" s="302">
        <v>1.32</v>
      </c>
    </row>
    <row r="76" spans="1:18" ht="14.1" customHeight="1" x14ac:dyDescent="0.25">
      <c r="A76" s="1613" t="s">
        <v>787</v>
      </c>
      <c r="B76" s="1190"/>
      <c r="C76" s="1190"/>
      <c r="D76" s="1190"/>
      <c r="E76" s="1190"/>
      <c r="F76" s="1190"/>
      <c r="G76" s="1190"/>
      <c r="H76" s="1189" t="s">
        <v>775</v>
      </c>
      <c r="I76" s="1189"/>
      <c r="J76" s="1189"/>
      <c r="K76" s="1189"/>
      <c r="L76" s="301">
        <v>0.55000000000000004</v>
      </c>
      <c r="M76" s="1364" t="s">
        <v>788</v>
      </c>
      <c r="N76" s="1364"/>
      <c r="O76" s="1673"/>
      <c r="P76" s="1678">
        <v>2.5</v>
      </c>
      <c r="Q76" s="1364"/>
      <c r="R76" s="302">
        <v>1.44</v>
      </c>
    </row>
    <row r="77" spans="1:18" ht="14.1" customHeight="1" x14ac:dyDescent="0.25">
      <c r="A77" s="1613" t="s">
        <v>789</v>
      </c>
      <c r="B77" s="1190"/>
      <c r="C77" s="1190"/>
      <c r="D77" s="1190"/>
      <c r="E77" s="1190"/>
      <c r="F77" s="1190"/>
      <c r="G77" s="1190"/>
      <c r="H77" s="1189" t="s">
        <v>785</v>
      </c>
      <c r="I77" s="1189"/>
      <c r="J77" s="1189"/>
      <c r="K77" s="1189"/>
      <c r="L77" s="301">
        <v>0.56000000000000005</v>
      </c>
      <c r="M77" s="1364" t="s">
        <v>790</v>
      </c>
      <c r="N77" s="1364"/>
      <c r="O77" s="1673"/>
      <c r="P77" s="1679">
        <v>3</v>
      </c>
      <c r="Q77" s="1680"/>
      <c r="R77" s="303">
        <v>1.55</v>
      </c>
    </row>
    <row r="78" spans="1:18" ht="14.1" customHeight="1" x14ac:dyDescent="0.25">
      <c r="A78" s="1613" t="s">
        <v>791</v>
      </c>
      <c r="B78" s="1190"/>
      <c r="C78" s="1190"/>
      <c r="D78" s="1190"/>
      <c r="E78" s="1190"/>
      <c r="F78" s="1190"/>
      <c r="G78" s="1190"/>
      <c r="H78" s="1189" t="s">
        <v>785</v>
      </c>
      <c r="I78" s="1189"/>
      <c r="J78" s="1189"/>
      <c r="K78" s="1189"/>
      <c r="L78" s="301">
        <v>0.56000000000000005</v>
      </c>
      <c r="M78" s="1364" t="s">
        <v>792</v>
      </c>
      <c r="N78" s="1364"/>
      <c r="O78" s="1673"/>
      <c r="P78" s="1682"/>
      <c r="Q78" s="1683"/>
      <c r="R78" s="1684"/>
    </row>
    <row r="79" spans="1:18" ht="14.1" customHeight="1" x14ac:dyDescent="0.25">
      <c r="A79" s="1613" t="s">
        <v>793</v>
      </c>
      <c r="B79" s="1190"/>
      <c r="C79" s="1190"/>
      <c r="D79" s="1190"/>
      <c r="E79" s="1190"/>
      <c r="F79" s="1190"/>
      <c r="G79" s="1190"/>
      <c r="H79" s="1189" t="s">
        <v>785</v>
      </c>
      <c r="I79" s="1189"/>
      <c r="J79" s="1189"/>
      <c r="K79" s="1189"/>
      <c r="L79" s="301">
        <v>0.56999999999999995</v>
      </c>
      <c r="M79" s="1364" t="s">
        <v>794</v>
      </c>
      <c r="N79" s="1364"/>
      <c r="O79" s="1673"/>
      <c r="P79" s="1685"/>
      <c r="Q79" s="1366"/>
      <c r="R79" s="1686"/>
    </row>
    <row r="80" spans="1:18" ht="14.1" customHeight="1" x14ac:dyDescent="0.25">
      <c r="A80" s="1613" t="s">
        <v>795</v>
      </c>
      <c r="B80" s="1190"/>
      <c r="C80" s="1190"/>
      <c r="D80" s="1190"/>
      <c r="E80" s="1190"/>
      <c r="F80" s="1190"/>
      <c r="G80" s="1190"/>
      <c r="H80" s="1189" t="s">
        <v>796</v>
      </c>
      <c r="I80" s="1189"/>
      <c r="J80" s="1189"/>
      <c r="K80" s="1189"/>
      <c r="L80" s="301">
        <v>0.56999999999999995</v>
      </c>
      <c r="M80" s="1364" t="s">
        <v>797</v>
      </c>
      <c r="N80" s="1364"/>
      <c r="O80" s="1673"/>
      <c r="P80" s="1685"/>
      <c r="Q80" s="1366"/>
      <c r="R80" s="1686"/>
    </row>
    <row r="81" spans="1:18" ht="14.1" customHeight="1" x14ac:dyDescent="0.25">
      <c r="A81" s="1613" t="s">
        <v>798</v>
      </c>
      <c r="B81" s="1190"/>
      <c r="C81" s="1190"/>
      <c r="D81" s="1190"/>
      <c r="E81" s="1190"/>
      <c r="F81" s="1190"/>
      <c r="G81" s="1190"/>
      <c r="H81" s="1189" t="s">
        <v>775</v>
      </c>
      <c r="I81" s="1189"/>
      <c r="J81" s="1189"/>
      <c r="K81" s="1189"/>
      <c r="L81" s="301">
        <v>0.56999999999999995</v>
      </c>
      <c r="M81" s="1364" t="s">
        <v>799</v>
      </c>
      <c r="N81" s="1364"/>
      <c r="O81" s="1673"/>
      <c r="P81" s="1685"/>
      <c r="Q81" s="1366"/>
      <c r="R81" s="1686"/>
    </row>
    <row r="82" spans="1:18" ht="14.1" customHeight="1" x14ac:dyDescent="0.25">
      <c r="A82" s="1613" t="s">
        <v>800</v>
      </c>
      <c r="B82" s="1190"/>
      <c r="C82" s="1190"/>
      <c r="D82" s="1190"/>
      <c r="E82" s="1190"/>
      <c r="F82" s="1190"/>
      <c r="G82" s="1190"/>
      <c r="H82" s="1189" t="s">
        <v>801</v>
      </c>
      <c r="I82" s="1189"/>
      <c r="J82" s="1189"/>
      <c r="K82" s="1189"/>
      <c r="L82" s="301">
        <v>0.57999999999999996</v>
      </c>
      <c r="M82" s="1364" t="s">
        <v>802</v>
      </c>
      <c r="N82" s="1364"/>
      <c r="O82" s="1673"/>
      <c r="P82" s="1685"/>
      <c r="Q82" s="1366"/>
      <c r="R82" s="1686"/>
    </row>
    <row r="83" spans="1:18" ht="14.1" customHeight="1" x14ac:dyDescent="0.25">
      <c r="A83" s="1613" t="s">
        <v>803</v>
      </c>
      <c r="B83" s="1190"/>
      <c r="C83" s="1190"/>
      <c r="D83" s="1190"/>
      <c r="E83" s="1190"/>
      <c r="F83" s="1190"/>
      <c r="G83" s="1190"/>
      <c r="H83" s="1189" t="s">
        <v>804</v>
      </c>
      <c r="I83" s="1189"/>
      <c r="J83" s="1189"/>
      <c r="K83" s="1189"/>
      <c r="L83" s="301">
        <v>0.57999999999999996</v>
      </c>
      <c r="M83" s="1364" t="s">
        <v>805</v>
      </c>
      <c r="N83" s="1364"/>
      <c r="O83" s="1673"/>
      <c r="P83" s="1685"/>
      <c r="Q83" s="1366"/>
      <c r="R83" s="1686"/>
    </row>
    <row r="84" spans="1:18" ht="14.1" customHeight="1" x14ac:dyDescent="0.25">
      <c r="A84" s="1674" t="s">
        <v>806</v>
      </c>
      <c r="B84" s="1617"/>
      <c r="C84" s="1617"/>
      <c r="D84" s="1617"/>
      <c r="E84" s="1617"/>
      <c r="F84" s="1617"/>
      <c r="G84" s="1617"/>
      <c r="H84" s="1675" t="s">
        <v>807</v>
      </c>
      <c r="I84" s="1675"/>
      <c r="J84" s="1675"/>
      <c r="K84" s="1675"/>
      <c r="L84" s="301">
        <v>0.57999999999999996</v>
      </c>
      <c r="M84" s="1364" t="s">
        <v>808</v>
      </c>
      <c r="N84" s="1364"/>
      <c r="O84" s="1673"/>
      <c r="P84" s="1685"/>
      <c r="Q84" s="1366"/>
      <c r="R84" s="1686"/>
    </row>
    <row r="85" spans="1:18" ht="14.1" customHeight="1" x14ac:dyDescent="0.25">
      <c r="A85" s="1676"/>
      <c r="B85" s="1644"/>
      <c r="C85" s="1644"/>
      <c r="D85" s="1644"/>
      <c r="E85" s="1644"/>
      <c r="F85" s="1644"/>
      <c r="G85" s="1644"/>
      <c r="H85" s="1644"/>
      <c r="I85" s="1644"/>
      <c r="J85" s="1644"/>
      <c r="K85" s="1677"/>
      <c r="L85" s="301">
        <v>0.59</v>
      </c>
      <c r="M85" s="1364" t="s">
        <v>809</v>
      </c>
      <c r="N85" s="1364"/>
      <c r="O85" s="1673"/>
      <c r="P85" s="1685"/>
      <c r="Q85" s="1366"/>
      <c r="R85" s="1686"/>
    </row>
    <row r="86" spans="1:18" ht="14.1" customHeight="1" x14ac:dyDescent="0.25">
      <c r="A86" s="1678"/>
      <c r="B86" s="1364"/>
      <c r="C86" s="1364"/>
      <c r="D86" s="1364"/>
      <c r="E86" s="1364"/>
      <c r="F86" s="1364"/>
      <c r="G86" s="1364"/>
      <c r="H86" s="1364"/>
      <c r="I86" s="1364"/>
      <c r="J86" s="1364"/>
      <c r="K86" s="1673"/>
      <c r="L86" s="301">
        <v>0.6</v>
      </c>
      <c r="M86" s="1364" t="s">
        <v>810</v>
      </c>
      <c r="N86" s="1364"/>
      <c r="O86" s="1673"/>
      <c r="P86" s="1685"/>
      <c r="Q86" s="1366"/>
      <c r="R86" s="1686"/>
    </row>
    <row r="87" spans="1:18" ht="14.1" customHeight="1" x14ac:dyDescent="0.25">
      <c r="A87" s="1679"/>
      <c r="B87" s="1680"/>
      <c r="C87" s="1680"/>
      <c r="D87" s="1680"/>
      <c r="E87" s="1680"/>
      <c r="F87" s="1680"/>
      <c r="G87" s="1680"/>
      <c r="H87" s="1680"/>
      <c r="I87" s="1680"/>
      <c r="J87" s="1680"/>
      <c r="K87" s="1681"/>
      <c r="L87" s="304">
        <v>0.6</v>
      </c>
      <c r="M87" s="1680" t="s">
        <v>811</v>
      </c>
      <c r="N87" s="1680"/>
      <c r="O87" s="1681"/>
      <c r="P87" s="1687"/>
      <c r="Q87" s="1688"/>
      <c r="R87" s="1689"/>
    </row>
    <row r="88" spans="1:18" ht="14.1" customHeight="1" x14ac:dyDescent="0.25">
      <c r="A88" s="1659"/>
      <c r="B88" s="1660"/>
      <c r="C88" s="1660"/>
      <c r="D88" s="1660"/>
      <c r="E88" s="1660"/>
      <c r="F88" s="1660"/>
      <c r="G88" s="1660"/>
      <c r="H88" s="1660"/>
      <c r="I88" s="1660"/>
      <c r="J88" s="1660"/>
      <c r="K88" s="1660"/>
      <c r="L88" s="1660"/>
      <c r="M88" s="1660"/>
      <c r="N88" s="1660"/>
      <c r="O88" s="1660"/>
      <c r="P88" s="1660"/>
      <c r="Q88" s="1660"/>
      <c r="R88" s="1661"/>
    </row>
    <row r="89" spans="1:18" ht="15.75" customHeight="1" thickBot="1" x14ac:dyDescent="0.3">
      <c r="A89" s="1662"/>
      <c r="B89" s="1663"/>
      <c r="C89" s="1663"/>
      <c r="D89" s="1663"/>
      <c r="E89" s="1663"/>
      <c r="F89" s="1663"/>
      <c r="G89" s="1663"/>
      <c r="H89" s="1663"/>
      <c r="I89" s="1663"/>
      <c r="J89" s="1663"/>
      <c r="K89" s="1663"/>
      <c r="L89" s="1663"/>
      <c r="M89" s="1663"/>
      <c r="N89" s="1663"/>
      <c r="O89" s="1663"/>
      <c r="P89" s="1663"/>
      <c r="Q89" s="1663"/>
      <c r="R89" s="1664"/>
    </row>
    <row r="90" spans="1:18" ht="15.75" customHeight="1" x14ac:dyDescent="0.25">
      <c r="A90" s="1665" t="s">
        <v>735</v>
      </c>
      <c r="B90" s="1666"/>
      <c r="C90" s="1666"/>
      <c r="D90" s="1666"/>
      <c r="E90" s="1666"/>
      <c r="F90" s="1666"/>
      <c r="G90" s="1666"/>
      <c r="H90" s="1666"/>
      <c r="I90" s="1666"/>
      <c r="J90" s="1666"/>
      <c r="K90" s="1666"/>
      <c r="L90" s="1666"/>
      <c r="M90" s="1666"/>
      <c r="N90" s="1666"/>
      <c r="O90" s="1666"/>
      <c r="P90" s="1666"/>
      <c r="Q90" s="1666"/>
      <c r="R90" s="1667"/>
    </row>
    <row r="91" spans="1:18" ht="15.75" customHeight="1" x14ac:dyDescent="0.25">
      <c r="A91" s="1592" t="s">
        <v>736</v>
      </c>
      <c r="B91" s="1593"/>
      <c r="C91" s="1593"/>
      <c r="D91" s="1593"/>
      <c r="E91" s="1593"/>
      <c r="F91" s="1593"/>
      <c r="G91" s="1593"/>
      <c r="H91" s="1593"/>
      <c r="I91" s="1593"/>
      <c r="J91" s="1593"/>
      <c r="K91" s="1593"/>
      <c r="L91" s="1593"/>
      <c r="M91" s="1593"/>
      <c r="N91" s="1593"/>
      <c r="O91" s="1593"/>
      <c r="P91" s="1593"/>
      <c r="Q91" s="1668" t="s">
        <v>737</v>
      </c>
      <c r="R91" s="1669"/>
    </row>
    <row r="92" spans="1:18" s="152" customFormat="1" ht="22.5" customHeight="1" x14ac:dyDescent="0.35">
      <c r="A92" s="1670" t="str">
        <f>A1</f>
        <v>Ameren Illinois Energy Efficiency Program</v>
      </c>
      <c r="B92" s="1671"/>
      <c r="C92" s="1671"/>
      <c r="D92" s="1671"/>
      <c r="E92" s="1671"/>
      <c r="F92" s="1671"/>
      <c r="G92" s="1671"/>
      <c r="H92" s="1671"/>
      <c r="I92" s="1671"/>
      <c r="J92" s="1671"/>
      <c r="K92" s="1671"/>
      <c r="L92" s="1671"/>
      <c r="M92" s="1671"/>
      <c r="N92" s="1671"/>
      <c r="O92" s="1671"/>
      <c r="P92" s="1671"/>
      <c r="Q92" s="1671"/>
      <c r="R92" s="1672"/>
    </row>
    <row r="93" spans="1:18" s="153" customFormat="1" ht="19.5" customHeight="1" x14ac:dyDescent="0.3">
      <c r="A93" s="1654" t="str">
        <f>A2</f>
        <v>Energy Audit Diagnostic Test Form</v>
      </c>
      <c r="B93" s="1655"/>
      <c r="C93" s="1655"/>
      <c r="D93" s="1655"/>
      <c r="E93" s="1655"/>
      <c r="F93" s="1655"/>
      <c r="G93" s="1655"/>
      <c r="H93" s="1655"/>
      <c r="I93" s="1655"/>
      <c r="J93" s="1655"/>
      <c r="K93" s="1655"/>
      <c r="L93" s="1655"/>
      <c r="M93" s="1655"/>
      <c r="N93" s="1655"/>
      <c r="O93" s="1655"/>
      <c r="P93" s="1655"/>
      <c r="Q93" s="1655"/>
      <c r="R93" s="1656"/>
    </row>
    <row r="94" spans="1:18" ht="15" customHeight="1" x14ac:dyDescent="0.25">
      <c r="A94" s="1621" t="s">
        <v>404</v>
      </c>
      <c r="B94" s="1622"/>
      <c r="C94" s="1657" t="str">
        <f>IF(ISBLANK(C7),"",C7)</f>
        <v/>
      </c>
      <c r="D94" s="1657"/>
      <c r="E94" s="1657"/>
      <c r="F94" s="1657"/>
      <c r="G94" s="1622" t="s">
        <v>604</v>
      </c>
      <c r="H94" s="1622"/>
      <c r="I94" s="1622"/>
      <c r="J94" s="1657" t="str">
        <f>C6</f>
        <v/>
      </c>
      <c r="K94" s="1657"/>
      <c r="L94" s="1657"/>
      <c r="M94" s="1657"/>
      <c r="N94" s="1657"/>
      <c r="O94" s="1657"/>
      <c r="P94" s="1657"/>
      <c r="Q94" s="1657"/>
      <c r="R94" s="1658"/>
    </row>
    <row r="95" spans="1:18" s="154" customFormat="1" ht="14.25" customHeight="1" x14ac:dyDescent="0.25">
      <c r="A95" s="1163" t="s">
        <v>812</v>
      </c>
      <c r="B95" s="1164"/>
      <c r="C95" s="1164"/>
      <c r="D95" s="1164"/>
      <c r="E95" s="1164"/>
      <c r="F95" s="1164"/>
      <c r="G95" s="1164"/>
      <c r="H95" s="1164"/>
      <c r="I95" s="1164"/>
      <c r="J95" s="1164"/>
      <c r="K95" s="1164"/>
      <c r="L95" s="1164"/>
      <c r="M95" s="1164"/>
      <c r="N95" s="1164"/>
      <c r="O95" s="1164"/>
      <c r="P95" s="1164"/>
      <c r="Q95" s="1164"/>
      <c r="R95" s="1165"/>
    </row>
    <row r="96" spans="1:18" ht="14.25" customHeight="1" x14ac:dyDescent="0.25">
      <c r="A96" s="1613" t="s">
        <v>813</v>
      </c>
      <c r="B96" s="1190"/>
      <c r="C96" s="1190"/>
      <c r="D96" s="1190"/>
      <c r="E96" s="1190"/>
      <c r="F96" s="1650">
        <f>'Work Scope'!$G$11</f>
        <v>0</v>
      </c>
      <c r="G96" s="1650"/>
      <c r="H96" s="305" t="s">
        <v>814</v>
      </c>
      <c r="I96" s="306"/>
      <c r="J96" s="1190" t="s">
        <v>815</v>
      </c>
      <c r="K96" s="1190"/>
      <c r="L96" s="1190"/>
      <c r="M96" s="1190"/>
      <c r="N96" s="1190"/>
      <c r="O96" s="1650">
        <f>'Work Scope'!$M$11</f>
        <v>0</v>
      </c>
      <c r="P96" s="1650"/>
      <c r="Q96" s="305" t="s">
        <v>814</v>
      </c>
      <c r="R96" s="307"/>
    </row>
    <row r="97" spans="1:18" s="154" customFormat="1" ht="14.25" customHeight="1" x14ac:dyDescent="0.25">
      <c r="A97" s="1163" t="s">
        <v>816</v>
      </c>
      <c r="B97" s="1164"/>
      <c r="C97" s="1164"/>
      <c r="D97" s="1164"/>
      <c r="E97" s="1164"/>
      <c r="F97" s="1164"/>
      <c r="G97" s="1164"/>
      <c r="H97" s="1164"/>
      <c r="I97" s="1164"/>
      <c r="J97" s="1164"/>
      <c r="K97" s="1164"/>
      <c r="L97" s="1164"/>
      <c r="M97" s="1164"/>
      <c r="N97" s="1164"/>
      <c r="O97" s="1164"/>
      <c r="P97" s="1164"/>
      <c r="Q97" s="1164"/>
      <c r="R97" s="1165"/>
    </row>
    <row r="98" spans="1:18" ht="18.75" customHeight="1" x14ac:dyDescent="0.25">
      <c r="A98" s="1651" t="s">
        <v>817</v>
      </c>
      <c r="B98" s="1652"/>
      <c r="C98" s="1652"/>
      <c r="D98" s="1652"/>
      <c r="E98" s="1652"/>
      <c r="F98" s="1652"/>
      <c r="G98" s="1652"/>
      <c r="H98" s="1652"/>
      <c r="I98" s="1652"/>
      <c r="J98" s="1652"/>
      <c r="K98" s="1652"/>
      <c r="L98" s="1652"/>
      <c r="M98" s="1652"/>
      <c r="N98" s="1652"/>
      <c r="O98" s="1652"/>
      <c r="P98" s="1652"/>
      <c r="Q98" s="1652"/>
      <c r="R98" s="1653"/>
    </row>
    <row r="99" spans="1:18" s="2" customFormat="1" ht="14.25" customHeight="1" x14ac:dyDescent="0.25">
      <c r="A99" s="1609" t="s">
        <v>818</v>
      </c>
      <c r="B99" s="1610"/>
      <c r="C99" s="1610"/>
      <c r="D99" s="1610"/>
      <c r="E99" s="1610"/>
      <c r="F99" s="1610"/>
      <c r="G99" s="1610"/>
      <c r="H99" s="1611"/>
      <c r="I99" s="1611"/>
      <c r="J99" s="1610" t="s">
        <v>819</v>
      </c>
      <c r="K99" s="1610"/>
      <c r="L99" s="1647" t="str">
        <f>IF('Project Information'!AI9="","",'Project Information'!AI9)</f>
        <v/>
      </c>
      <c r="M99" s="1647"/>
      <c r="N99" s="1610" t="s">
        <v>820</v>
      </c>
      <c r="O99" s="1610"/>
      <c r="P99" s="1610"/>
      <c r="Q99" s="1648"/>
      <c r="R99" s="1649"/>
    </row>
    <row r="100" spans="1:18" s="154" customFormat="1" ht="14.25" customHeight="1" x14ac:dyDescent="0.25">
      <c r="A100" s="1163" t="s">
        <v>821</v>
      </c>
      <c r="B100" s="1164"/>
      <c r="C100" s="1164"/>
      <c r="D100" s="1164"/>
      <c r="E100" s="1164"/>
      <c r="F100" s="1164"/>
      <c r="G100" s="1164"/>
      <c r="H100" s="1164"/>
      <c r="I100" s="1164"/>
      <c r="J100" s="1164"/>
      <c r="K100" s="1164"/>
      <c r="L100" s="1164"/>
      <c r="M100" s="1164"/>
      <c r="N100" s="1164"/>
      <c r="O100" s="1164"/>
      <c r="P100" s="1164"/>
      <c r="Q100" s="1164"/>
      <c r="R100" s="1165"/>
    </row>
    <row r="101" spans="1:18" ht="15.75" customHeight="1" x14ac:dyDescent="0.25">
      <c r="A101" s="1641" t="s">
        <v>822</v>
      </c>
      <c r="B101" s="1642"/>
      <c r="C101" s="1642"/>
      <c r="D101" s="1642"/>
      <c r="E101" s="1642"/>
      <c r="F101" s="1642"/>
      <c r="G101" s="1643"/>
      <c r="H101" s="1644" t="s">
        <v>823</v>
      </c>
      <c r="I101" s="1644"/>
      <c r="J101" s="1645" t="s">
        <v>824</v>
      </c>
      <c r="K101" s="1645"/>
      <c r="L101" s="1644" t="s">
        <v>825</v>
      </c>
      <c r="M101" s="1644"/>
      <c r="N101" s="1646" t="s">
        <v>826</v>
      </c>
      <c r="O101" s="1646"/>
      <c r="P101" s="1644" t="s">
        <v>827</v>
      </c>
      <c r="Q101" s="1644"/>
      <c r="R101" s="308"/>
    </row>
    <row r="102" spans="1:18" ht="14.25" customHeight="1" x14ac:dyDescent="0.25">
      <c r="A102" s="1630" t="s">
        <v>828</v>
      </c>
      <c r="B102" s="1189"/>
      <c r="C102" s="1189"/>
      <c r="D102" s="1189"/>
      <c r="E102" s="1189"/>
      <c r="F102" s="1189"/>
      <c r="G102" s="1631"/>
      <c r="H102" s="1632">
        <v>50</v>
      </c>
      <c r="I102" s="1632"/>
      <c r="J102" s="1633"/>
      <c r="K102" s="1633"/>
      <c r="L102" s="1632" t="str">
        <f>IF(J102="","",(IF(J102&gt;H102,0,H102-J102)))</f>
        <v/>
      </c>
      <c r="M102" s="1632"/>
      <c r="N102" s="1634"/>
      <c r="O102" s="1634"/>
      <c r="P102" s="1632" t="str">
        <f>IFERROR(IF(N102="",L102,(IF(N102="Y",IF((L102-20)&gt;0, (L102-20),0),L102))),"")</f>
        <v/>
      </c>
      <c r="Q102" s="1632"/>
      <c r="R102" s="309"/>
    </row>
    <row r="103" spans="1:18" ht="14.25" customHeight="1" x14ac:dyDescent="0.25">
      <c r="A103" s="1630" t="s">
        <v>829</v>
      </c>
      <c r="B103" s="1189"/>
      <c r="C103" s="1189"/>
      <c r="D103" s="1189"/>
      <c r="E103" s="1189"/>
      <c r="F103" s="1189"/>
      <c r="G103" s="1631"/>
      <c r="H103" s="1632">
        <v>50</v>
      </c>
      <c r="I103" s="1632"/>
      <c r="J103" s="1633"/>
      <c r="K103" s="1633"/>
      <c r="L103" s="1632" t="str">
        <f>IF(J103="","",(IF(J103&gt;H103,0,H103-J103)))</f>
        <v/>
      </c>
      <c r="M103" s="1632"/>
      <c r="N103" s="1634"/>
      <c r="O103" s="1634"/>
      <c r="P103" s="1632" t="str">
        <f>IFERROR(IF(N103="",L103,(IF(N103="Y",IF((L103-20)&gt;0, (L103-20),0),L103))),"")</f>
        <v/>
      </c>
      <c r="Q103" s="1632"/>
      <c r="R103" s="309"/>
    </row>
    <row r="104" spans="1:18" ht="14.25" customHeight="1" x14ac:dyDescent="0.25">
      <c r="A104" s="1630" t="s">
        <v>830</v>
      </c>
      <c r="B104" s="1189"/>
      <c r="C104" s="1189"/>
      <c r="D104" s="1189"/>
      <c r="E104" s="1189"/>
      <c r="F104" s="1189"/>
      <c r="G104" s="1631"/>
      <c r="H104" s="1632">
        <v>50</v>
      </c>
      <c r="I104" s="1632"/>
      <c r="J104" s="1633"/>
      <c r="K104" s="1633"/>
      <c r="L104" s="1632" t="str">
        <f>IF(J104="","",(IF(J104&gt;H104,0,H104-J104)))</f>
        <v/>
      </c>
      <c r="M104" s="1632"/>
      <c r="N104" s="1634"/>
      <c r="O104" s="1634"/>
      <c r="P104" s="1632" t="str">
        <f>IFERROR(IF(N104="",L104,(IF(N104="Y",IF((L104-20)&gt;0, (L104-20),0),L104))),"")</f>
        <v/>
      </c>
      <c r="Q104" s="1632"/>
      <c r="R104" s="309"/>
    </row>
    <row r="105" spans="1:18" ht="14.25" customHeight="1" x14ac:dyDescent="0.25">
      <c r="A105" s="1630" t="s">
        <v>831</v>
      </c>
      <c r="B105" s="1189"/>
      <c r="C105" s="1189"/>
      <c r="D105" s="1189"/>
      <c r="E105" s="1189"/>
      <c r="F105" s="1189"/>
      <c r="G105" s="1631"/>
      <c r="H105" s="1632">
        <v>50</v>
      </c>
      <c r="I105" s="1632"/>
      <c r="J105" s="1633"/>
      <c r="K105" s="1633"/>
      <c r="L105" s="1632" t="str">
        <f>IF(J105="","",(IF(J105&gt;H105,0,H105-J105)))</f>
        <v/>
      </c>
      <c r="M105" s="1632"/>
      <c r="N105" s="1634"/>
      <c r="O105" s="1634"/>
      <c r="P105" s="1632" t="str">
        <f>IFERROR(IF(N105="",L105,(IF(N105="Y",IF((L105-20)&gt;0, (L105-20),0),L105))),"")</f>
        <v/>
      </c>
      <c r="Q105" s="1632"/>
      <c r="R105" s="309"/>
    </row>
    <row r="106" spans="1:18" ht="14.25" customHeight="1" x14ac:dyDescent="0.25">
      <c r="A106" s="1630" t="s">
        <v>832</v>
      </c>
      <c r="B106" s="1189"/>
      <c r="C106" s="1189"/>
      <c r="D106" s="1189"/>
      <c r="E106" s="1189"/>
      <c r="F106" s="1189"/>
      <c r="G106" s="1631"/>
      <c r="H106" s="1632">
        <v>0</v>
      </c>
      <c r="I106" s="1632"/>
      <c r="J106" s="1633"/>
      <c r="K106" s="1633"/>
      <c r="L106" s="1635">
        <v>0</v>
      </c>
      <c r="M106" s="1636"/>
      <c r="N106" s="1636" t="s">
        <v>31</v>
      </c>
      <c r="O106" s="1636"/>
      <c r="P106" s="1636">
        <v>0</v>
      </c>
      <c r="Q106" s="1636"/>
      <c r="R106" s="309"/>
    </row>
    <row r="107" spans="1:18" ht="14.25" customHeight="1" x14ac:dyDescent="0.25">
      <c r="A107" s="1630" t="s">
        <v>833</v>
      </c>
      <c r="B107" s="1189"/>
      <c r="C107" s="1189"/>
      <c r="D107" s="1189"/>
      <c r="E107" s="1189"/>
      <c r="F107" s="1189"/>
      <c r="G107" s="1631"/>
      <c r="H107" s="1632">
        <v>100</v>
      </c>
      <c r="I107" s="1632"/>
      <c r="J107" s="1633">
        <v>0</v>
      </c>
      <c r="K107" s="1633"/>
      <c r="L107" s="1632">
        <f>IF(J107="","",(IF(J107&gt;H107,0,H107-J107)))</f>
        <v>100</v>
      </c>
      <c r="M107" s="1632"/>
      <c r="N107" s="1634"/>
      <c r="O107" s="1634"/>
      <c r="P107" s="1632">
        <f>IFERROR(IF(N107="",L107,(IF(N107="Y",IF((L107-20)&gt;0, (L107-20),0),L107))),"")</f>
        <v>100</v>
      </c>
      <c r="Q107" s="1632"/>
      <c r="R107" s="309"/>
    </row>
    <row r="108" spans="1:18" ht="14.25" customHeight="1" x14ac:dyDescent="0.25">
      <c r="A108" s="1630" t="s">
        <v>834</v>
      </c>
      <c r="B108" s="1189"/>
      <c r="C108" s="1189"/>
      <c r="D108" s="1189"/>
      <c r="E108" s="1189"/>
      <c r="F108" s="1189"/>
      <c r="G108" s="1631"/>
      <c r="H108" s="1632">
        <v>100</v>
      </c>
      <c r="I108" s="1632"/>
      <c r="J108" s="1633"/>
      <c r="K108" s="1633"/>
      <c r="L108" s="1632" t="str">
        <f>IF(J108="","",(IF(J108&gt;H108,0,H108-J108)))</f>
        <v/>
      </c>
      <c r="M108" s="1632"/>
      <c r="N108" s="1634"/>
      <c r="O108" s="1634"/>
      <c r="P108" s="1632" t="str">
        <f>IFERROR(IF(N108="",L108,(IF(N108="Y",IF((L108-20)&gt;0, (L108-20),0),L108))),"")</f>
        <v/>
      </c>
      <c r="Q108" s="1632"/>
      <c r="R108" s="309"/>
    </row>
    <row r="109" spans="1:18" ht="17.25" customHeight="1" x14ac:dyDescent="0.25">
      <c r="A109" s="1618" t="s">
        <v>835</v>
      </c>
      <c r="B109" s="1619"/>
      <c r="C109" s="1619"/>
      <c r="D109" s="1619"/>
      <c r="E109" s="1619"/>
      <c r="F109" s="1619"/>
      <c r="G109" s="1619"/>
      <c r="H109" s="1619"/>
      <c r="I109" s="1619"/>
      <c r="J109" s="1619"/>
      <c r="K109" s="1619"/>
      <c r="L109" s="1620"/>
      <c r="M109" s="1621" t="s">
        <v>836</v>
      </c>
      <c r="N109" s="1622"/>
      <c r="O109" s="1622"/>
      <c r="P109" s="1623">
        <f>IF(COUNT(P102:Q105)+COUNT(P107:Q108)=0,"",SUM(P102:Q108))</f>
        <v>100</v>
      </c>
      <c r="Q109" s="1624"/>
      <c r="R109" s="310"/>
    </row>
    <row r="110" spans="1:18" ht="14.25" customHeight="1" x14ac:dyDescent="0.25">
      <c r="A110" s="1625" t="s">
        <v>837</v>
      </c>
      <c r="B110" s="1626"/>
      <c r="C110" s="1626"/>
      <c r="D110" s="1626"/>
      <c r="E110" s="1626"/>
      <c r="F110" s="1626"/>
      <c r="G110" s="1626"/>
      <c r="H110" s="1626"/>
      <c r="I110" s="1627"/>
      <c r="J110" s="1628" t="s">
        <v>838</v>
      </c>
      <c r="K110" s="1628"/>
      <c r="L110" s="1628"/>
      <c r="M110" s="1628"/>
      <c r="N110" s="1628"/>
      <c r="O110" s="311"/>
      <c r="P110" s="1629" t="s">
        <v>839</v>
      </c>
      <c r="Q110" s="1629"/>
      <c r="R110" s="312" t="str">
        <f>IF(L99="","",VLOOKUP(L99,P73:R77,3))</f>
        <v/>
      </c>
    </row>
    <row r="111" spans="1:18" ht="14.25" customHeight="1" x14ac:dyDescent="0.25">
      <c r="A111" s="1613" t="s">
        <v>840</v>
      </c>
      <c r="B111" s="1190"/>
      <c r="C111" s="1190"/>
      <c r="D111" s="1190"/>
      <c r="E111" s="1190"/>
      <c r="F111" s="1190"/>
      <c r="G111" s="1190"/>
      <c r="H111" s="1190"/>
      <c r="I111" s="1190"/>
      <c r="J111" s="1190"/>
      <c r="K111" s="1190"/>
      <c r="L111" s="1190"/>
      <c r="M111" s="1190"/>
      <c r="N111" s="1190"/>
      <c r="O111" s="1190"/>
      <c r="P111" s="1190"/>
      <c r="Q111" s="1190"/>
      <c r="R111" s="313" t="str">
        <f>IF($H$99="","",IF($Q$99="","",(0.03*$H$99+(7.5*($Q$99+1)))))</f>
        <v/>
      </c>
    </row>
    <row r="112" spans="1:18" ht="14.25" customHeight="1" x14ac:dyDescent="0.25">
      <c r="A112" s="1613" t="s">
        <v>841</v>
      </c>
      <c r="B112" s="1190"/>
      <c r="C112" s="1190"/>
      <c r="D112" s="1190"/>
      <c r="E112" s="1190"/>
      <c r="F112" s="1190"/>
      <c r="G112" s="1190"/>
      <c r="H112" s="1190"/>
      <c r="I112" s="1190"/>
      <c r="J112" s="1190"/>
      <c r="K112" s="1190"/>
      <c r="L112" s="1190"/>
      <c r="M112" s="1190"/>
      <c r="N112" s="1190"/>
      <c r="O112" s="1190"/>
      <c r="P112" s="1190"/>
      <c r="Q112" s="1190"/>
      <c r="R112" s="313">
        <f>IF(P109="","",IF(P109&gt;0,P109/4,""))</f>
        <v>25</v>
      </c>
    </row>
    <row r="113" spans="1:18" ht="14.25" customHeight="1" x14ac:dyDescent="0.25">
      <c r="A113" s="1613" t="s">
        <v>842</v>
      </c>
      <c r="B113" s="1190"/>
      <c r="C113" s="1190"/>
      <c r="D113" s="1190"/>
      <c r="E113" s="1190"/>
      <c r="F113" s="1190"/>
      <c r="G113" s="1190"/>
      <c r="H113" s="1190"/>
      <c r="I113" s="1190"/>
      <c r="J113" s="1190"/>
      <c r="K113" s="1190"/>
      <c r="L113" s="1190"/>
      <c r="M113" s="1190"/>
      <c r="N113" s="1190"/>
      <c r="O113" s="1190"/>
      <c r="P113" s="1190"/>
      <c r="Q113" s="1190"/>
      <c r="R113" s="313" t="str">
        <f>IF(R111="","",IF(R112="",R111,R111+R112))</f>
        <v/>
      </c>
    </row>
    <row r="114" spans="1:18" ht="14.25" customHeight="1" x14ac:dyDescent="0.25">
      <c r="A114" s="1614" t="s">
        <v>843</v>
      </c>
      <c r="B114" s="1186"/>
      <c r="C114" s="1186"/>
      <c r="D114" s="1186"/>
      <c r="E114" s="1186"/>
      <c r="F114" s="1186"/>
      <c r="G114" s="1186"/>
      <c r="H114" s="1190" t="s">
        <v>844</v>
      </c>
      <c r="I114" s="1190"/>
      <c r="J114" s="1190"/>
      <c r="K114" s="1190"/>
      <c r="L114" s="1190"/>
      <c r="M114" s="1190"/>
      <c r="N114" s="1190"/>
      <c r="O114" s="1190"/>
      <c r="P114" s="1190"/>
      <c r="Q114" s="1190"/>
      <c r="R114" s="313" t="str">
        <f>IF($F$96="","",IF(R110="","",IF(O110="","",0.052*$F$96*O110*R110)))</f>
        <v/>
      </c>
    </row>
    <row r="115" spans="1:18" ht="14.25" customHeight="1" x14ac:dyDescent="0.25">
      <c r="A115" s="1615"/>
      <c r="B115" s="1616"/>
      <c r="C115" s="1616"/>
      <c r="D115" s="1616"/>
      <c r="E115" s="1616"/>
      <c r="F115" s="1616"/>
      <c r="G115" s="1616"/>
      <c r="H115" s="1617" t="s">
        <v>845</v>
      </c>
      <c r="I115" s="1617"/>
      <c r="J115" s="1617"/>
      <c r="K115" s="1617"/>
      <c r="L115" s="1617"/>
      <c r="M115" s="1617"/>
      <c r="N115" s="1617"/>
      <c r="O115" s="1617"/>
      <c r="P115" s="1617"/>
      <c r="Q115" s="1617"/>
      <c r="R115" s="314" t="str">
        <f>IF(R113="","",IF(R114="","",R113-R114))</f>
        <v/>
      </c>
    </row>
    <row r="116" spans="1:18" ht="14.25" customHeight="1" x14ac:dyDescent="0.25">
      <c r="A116" s="1638" t="s">
        <v>846</v>
      </c>
      <c r="B116" s="1639"/>
      <c r="C116" s="1639"/>
      <c r="D116" s="1639"/>
      <c r="E116" s="1639"/>
      <c r="F116" s="1639"/>
      <c r="G116" s="1639"/>
      <c r="H116" s="1639"/>
      <c r="I116" s="1639"/>
      <c r="J116" s="1639"/>
      <c r="K116" s="1639"/>
      <c r="L116" s="1639"/>
      <c r="M116" s="1639"/>
      <c r="N116" s="1639"/>
      <c r="O116" s="1639"/>
      <c r="P116" s="1639"/>
      <c r="Q116" s="1639"/>
      <c r="R116" s="1640"/>
    </row>
    <row r="117" spans="1:18" ht="15.75" customHeight="1" x14ac:dyDescent="0.25">
      <c r="A117" s="1641" t="s">
        <v>822</v>
      </c>
      <c r="B117" s="1642"/>
      <c r="C117" s="1642"/>
      <c r="D117" s="1642"/>
      <c r="E117" s="1642"/>
      <c r="F117" s="1642"/>
      <c r="G117" s="1643"/>
      <c r="H117" s="1644" t="s">
        <v>823</v>
      </c>
      <c r="I117" s="1644"/>
      <c r="J117" s="1645" t="s">
        <v>824</v>
      </c>
      <c r="K117" s="1645"/>
      <c r="L117" s="1644" t="s">
        <v>825</v>
      </c>
      <c r="M117" s="1644"/>
      <c r="N117" s="1646" t="s">
        <v>826</v>
      </c>
      <c r="O117" s="1646"/>
      <c r="P117" s="1644" t="s">
        <v>827</v>
      </c>
      <c r="Q117" s="1644"/>
      <c r="R117" s="315" t="s">
        <v>847</v>
      </c>
    </row>
    <row r="118" spans="1:18" ht="14.25" customHeight="1" x14ac:dyDescent="0.25">
      <c r="A118" s="1630" t="s">
        <v>828</v>
      </c>
      <c r="B118" s="1189"/>
      <c r="C118" s="1189"/>
      <c r="D118" s="1189"/>
      <c r="E118" s="1189"/>
      <c r="F118" s="1189"/>
      <c r="G118" s="1631"/>
      <c r="H118" s="1632">
        <v>50</v>
      </c>
      <c r="I118" s="1632"/>
      <c r="J118" s="1633"/>
      <c r="K118" s="1633"/>
      <c r="L118" s="1632" t="str">
        <f>IF(J118="","",(IF(J118&gt;H118,0,H118-J118)))</f>
        <v/>
      </c>
      <c r="M118" s="1632"/>
      <c r="N118" s="1634"/>
      <c r="O118" s="1634"/>
      <c r="P118" s="1632" t="str">
        <f>IFERROR(IF(N118="",L118,(IF(N118="Y",IF((L118-20)&gt;0, (L118-20),0),L118))),"")</f>
        <v/>
      </c>
      <c r="Q118" s="1632"/>
      <c r="R118" s="289"/>
    </row>
    <row r="119" spans="1:18" ht="14.25" customHeight="1" x14ac:dyDescent="0.25">
      <c r="A119" s="1630" t="s">
        <v>829</v>
      </c>
      <c r="B119" s="1189"/>
      <c r="C119" s="1189"/>
      <c r="D119" s="1189"/>
      <c r="E119" s="1189"/>
      <c r="F119" s="1189"/>
      <c r="G119" s="1631"/>
      <c r="H119" s="1632">
        <v>50</v>
      </c>
      <c r="I119" s="1632"/>
      <c r="J119" s="1633"/>
      <c r="K119" s="1633"/>
      <c r="L119" s="1632" t="str">
        <f>IF(J119="","",(IF(J119&gt;H119,0,H119-J119)))</f>
        <v/>
      </c>
      <c r="M119" s="1632"/>
      <c r="N119" s="1634"/>
      <c r="O119" s="1634"/>
      <c r="P119" s="1632" t="str">
        <f>IFERROR(IF(N119="",L119,(IF(N119="Y",IF((L119-20)&gt;0, (L119-20),0),L119))),"")</f>
        <v/>
      </c>
      <c r="Q119" s="1632"/>
      <c r="R119" s="289"/>
    </row>
    <row r="120" spans="1:18" ht="14.25" customHeight="1" x14ac:dyDescent="0.25">
      <c r="A120" s="1630" t="s">
        <v>830</v>
      </c>
      <c r="B120" s="1189"/>
      <c r="C120" s="1189"/>
      <c r="D120" s="1189"/>
      <c r="E120" s="1189"/>
      <c r="F120" s="1189"/>
      <c r="G120" s="1631"/>
      <c r="H120" s="1632">
        <v>50</v>
      </c>
      <c r="I120" s="1632"/>
      <c r="J120" s="1633"/>
      <c r="K120" s="1633"/>
      <c r="L120" s="1632" t="str">
        <f>IF(J120="","",(IF(J120&gt;H120,0,H120-J120)))</f>
        <v/>
      </c>
      <c r="M120" s="1632"/>
      <c r="N120" s="1634"/>
      <c r="O120" s="1634"/>
      <c r="P120" s="1632" t="str">
        <f>IFERROR(IF(N120="",L120,(IF(N120="Y",IF((L120-20)&gt;0, (L120-20),0),L120))),"")</f>
        <v/>
      </c>
      <c r="Q120" s="1632"/>
      <c r="R120" s="289"/>
    </row>
    <row r="121" spans="1:18" ht="14.25" customHeight="1" x14ac:dyDescent="0.25">
      <c r="A121" s="1630" t="s">
        <v>831</v>
      </c>
      <c r="B121" s="1189"/>
      <c r="C121" s="1189"/>
      <c r="D121" s="1189"/>
      <c r="E121" s="1189"/>
      <c r="F121" s="1189"/>
      <c r="G121" s="1631"/>
      <c r="H121" s="1632">
        <v>50</v>
      </c>
      <c r="I121" s="1632"/>
      <c r="J121" s="1633"/>
      <c r="K121" s="1633"/>
      <c r="L121" s="1632" t="str">
        <f>IF(J121="","",(IF(J121&gt;H121,0,H121-J121)))</f>
        <v/>
      </c>
      <c r="M121" s="1632"/>
      <c r="N121" s="1634"/>
      <c r="O121" s="1634"/>
      <c r="P121" s="1632" t="str">
        <f>IFERROR(IF(N121="",L121,(IF(N121="Y",IF((L121-20)&gt;0, (L121-20),0),L121))),"")</f>
        <v/>
      </c>
      <c r="Q121" s="1632"/>
      <c r="R121" s="289"/>
    </row>
    <row r="122" spans="1:18" ht="14.25" customHeight="1" x14ac:dyDescent="0.25">
      <c r="A122" s="1630" t="s">
        <v>832</v>
      </c>
      <c r="B122" s="1189"/>
      <c r="C122" s="1189"/>
      <c r="D122" s="1189"/>
      <c r="E122" s="1189"/>
      <c r="F122" s="1189"/>
      <c r="G122" s="1631"/>
      <c r="H122" s="1632">
        <v>0</v>
      </c>
      <c r="I122" s="1632"/>
      <c r="J122" s="1633"/>
      <c r="K122" s="1633"/>
      <c r="L122" s="1635">
        <v>0</v>
      </c>
      <c r="M122" s="1636"/>
      <c r="N122" s="1636" t="s">
        <v>31</v>
      </c>
      <c r="O122" s="1636"/>
      <c r="P122" s="1636">
        <v>0</v>
      </c>
      <c r="Q122" s="1637"/>
      <c r="R122" s="289"/>
    </row>
    <row r="123" spans="1:18" ht="14.25" customHeight="1" x14ac:dyDescent="0.25">
      <c r="A123" s="1630" t="s">
        <v>833</v>
      </c>
      <c r="B123" s="1189"/>
      <c r="C123" s="1189"/>
      <c r="D123" s="1189"/>
      <c r="E123" s="1189"/>
      <c r="F123" s="1189"/>
      <c r="G123" s="1631"/>
      <c r="H123" s="1632">
        <v>100</v>
      </c>
      <c r="I123" s="1632"/>
      <c r="J123" s="1633">
        <v>0</v>
      </c>
      <c r="K123" s="1633"/>
      <c r="L123" s="1632">
        <f>IF(J123="","",(IF(J123&gt;H123,0,H123-J123)))</f>
        <v>100</v>
      </c>
      <c r="M123" s="1632"/>
      <c r="N123" s="1634"/>
      <c r="O123" s="1634"/>
      <c r="P123" s="1632">
        <f>IFERROR(IF(N123="",L123,(IF(N123="Y",IF((L123-20)&gt;0, (L123-20),0),L123))),"")</f>
        <v>100</v>
      </c>
      <c r="Q123" s="1632"/>
      <c r="R123" s="289"/>
    </row>
    <row r="124" spans="1:18" ht="14.25" customHeight="1" x14ac:dyDescent="0.25">
      <c r="A124" s="1630" t="s">
        <v>834</v>
      </c>
      <c r="B124" s="1189"/>
      <c r="C124" s="1189"/>
      <c r="D124" s="1189"/>
      <c r="E124" s="1189"/>
      <c r="F124" s="1189"/>
      <c r="G124" s="1631"/>
      <c r="H124" s="1632">
        <v>100</v>
      </c>
      <c r="I124" s="1632"/>
      <c r="J124" s="1633"/>
      <c r="K124" s="1633"/>
      <c r="L124" s="1632" t="str">
        <f>IF(J124="","",(IF(J124&gt;H124,0,H124-J124)))</f>
        <v/>
      </c>
      <c r="M124" s="1632"/>
      <c r="N124" s="1634"/>
      <c r="O124" s="1634"/>
      <c r="P124" s="1632" t="str">
        <f>IFERROR(IF(N124="",L124,(IF(N124="Y",IF((L124-20)&gt;0, (L124-20),0),L124))),"")</f>
        <v/>
      </c>
      <c r="Q124" s="1632"/>
      <c r="R124" s="289"/>
    </row>
    <row r="125" spans="1:18" ht="17.25" customHeight="1" x14ac:dyDescent="0.25">
      <c r="A125" s="1618" t="s">
        <v>835</v>
      </c>
      <c r="B125" s="1619"/>
      <c r="C125" s="1619"/>
      <c r="D125" s="1619"/>
      <c r="E125" s="1619"/>
      <c r="F125" s="1619"/>
      <c r="G125" s="1619"/>
      <c r="H125" s="1619"/>
      <c r="I125" s="1619"/>
      <c r="J125" s="1619"/>
      <c r="K125" s="1619"/>
      <c r="L125" s="1620"/>
      <c r="M125" s="1621" t="s">
        <v>836</v>
      </c>
      <c r="N125" s="1622"/>
      <c r="O125" s="1622"/>
      <c r="P125" s="1623">
        <f>IF(COUNT(P118:Q121)+COUNT(P123:Q124)=0,"",SUM(P118:Q124))</f>
        <v>100</v>
      </c>
      <c r="Q125" s="1624"/>
      <c r="R125" s="316"/>
    </row>
    <row r="126" spans="1:18" ht="14.25" customHeight="1" x14ac:dyDescent="0.25">
      <c r="A126" s="1625" t="s">
        <v>837</v>
      </c>
      <c r="B126" s="1626"/>
      <c r="C126" s="1626"/>
      <c r="D126" s="1626"/>
      <c r="E126" s="1626"/>
      <c r="F126" s="1626"/>
      <c r="G126" s="1626"/>
      <c r="H126" s="1626"/>
      <c r="I126" s="1627"/>
      <c r="J126" s="1628" t="s">
        <v>838</v>
      </c>
      <c r="K126" s="1628"/>
      <c r="L126" s="1628"/>
      <c r="M126" s="1628"/>
      <c r="N126" s="1628"/>
      <c r="O126" s="317" t="str">
        <f>IF(O110="","",O110)</f>
        <v/>
      </c>
      <c r="P126" s="1629" t="s">
        <v>839</v>
      </c>
      <c r="Q126" s="1629"/>
      <c r="R126" s="312" t="str">
        <f>IF(R110="","",R110)</f>
        <v/>
      </c>
    </row>
    <row r="127" spans="1:18" ht="14.25" customHeight="1" x14ac:dyDescent="0.25">
      <c r="A127" s="1613" t="s">
        <v>840</v>
      </c>
      <c r="B127" s="1190"/>
      <c r="C127" s="1190"/>
      <c r="D127" s="1190"/>
      <c r="E127" s="1190"/>
      <c r="F127" s="1190"/>
      <c r="G127" s="1190"/>
      <c r="H127" s="1190"/>
      <c r="I127" s="1190"/>
      <c r="J127" s="1190"/>
      <c r="K127" s="1190"/>
      <c r="L127" s="1190"/>
      <c r="M127" s="1190"/>
      <c r="N127" s="1190"/>
      <c r="O127" s="1190"/>
      <c r="P127" s="1190"/>
      <c r="Q127" s="1190"/>
      <c r="R127" s="313" t="str">
        <f>IF($H$99="","",IF($Q$99="","",(0.03*$H$99+(7.5*($Q$99+1)))))</f>
        <v/>
      </c>
    </row>
    <row r="128" spans="1:18" ht="14.25" customHeight="1" x14ac:dyDescent="0.25">
      <c r="A128" s="1613" t="s">
        <v>841</v>
      </c>
      <c r="B128" s="1190"/>
      <c r="C128" s="1190"/>
      <c r="D128" s="1190"/>
      <c r="E128" s="1190"/>
      <c r="F128" s="1190"/>
      <c r="G128" s="1190"/>
      <c r="H128" s="1190"/>
      <c r="I128" s="1190"/>
      <c r="J128" s="1190"/>
      <c r="K128" s="1190"/>
      <c r="L128" s="1190"/>
      <c r="M128" s="1190"/>
      <c r="N128" s="1190"/>
      <c r="O128" s="1190"/>
      <c r="P128" s="1190"/>
      <c r="Q128" s="1190"/>
      <c r="R128" s="313">
        <f>IF(P125="","",IF(P125&gt;0,P125/4,""))</f>
        <v>25</v>
      </c>
    </row>
    <row r="129" spans="1:18" ht="14.25" customHeight="1" x14ac:dyDescent="0.25">
      <c r="A129" s="1613" t="s">
        <v>842</v>
      </c>
      <c r="B129" s="1190"/>
      <c r="C129" s="1190"/>
      <c r="D129" s="1190"/>
      <c r="E129" s="1190"/>
      <c r="F129" s="1190"/>
      <c r="G129" s="1190"/>
      <c r="H129" s="1190"/>
      <c r="I129" s="1190"/>
      <c r="J129" s="1190"/>
      <c r="K129" s="1190"/>
      <c r="L129" s="1190"/>
      <c r="M129" s="1190"/>
      <c r="N129" s="1190"/>
      <c r="O129" s="1190"/>
      <c r="P129" s="1190"/>
      <c r="Q129" s="1190"/>
      <c r="R129" s="313" t="str">
        <f>IF(R127="","",IF(R128="",R127,R127+R128))</f>
        <v/>
      </c>
    </row>
    <row r="130" spans="1:18" ht="14.25" customHeight="1" x14ac:dyDescent="0.25">
      <c r="A130" s="1614" t="s">
        <v>843</v>
      </c>
      <c r="B130" s="1186"/>
      <c r="C130" s="1186"/>
      <c r="D130" s="1186"/>
      <c r="E130" s="1186"/>
      <c r="F130" s="1186"/>
      <c r="G130" s="1186"/>
      <c r="H130" s="1190" t="s">
        <v>844</v>
      </c>
      <c r="I130" s="1190"/>
      <c r="J130" s="1190"/>
      <c r="K130" s="1190"/>
      <c r="L130" s="1190"/>
      <c r="M130" s="1190"/>
      <c r="N130" s="1190"/>
      <c r="O130" s="1190"/>
      <c r="P130" s="1190"/>
      <c r="Q130" s="1190"/>
      <c r="R130" s="313" t="str">
        <f>IF($O$96="","",IF(R126="","",IF(O126="","",0.052*$O$96*O126*R126)))</f>
        <v/>
      </c>
    </row>
    <row r="131" spans="1:18" ht="14.25" customHeight="1" x14ac:dyDescent="0.25">
      <c r="A131" s="1615"/>
      <c r="B131" s="1616"/>
      <c r="C131" s="1616"/>
      <c r="D131" s="1616"/>
      <c r="E131" s="1616"/>
      <c r="F131" s="1616"/>
      <c r="G131" s="1616"/>
      <c r="H131" s="1617" t="s">
        <v>845</v>
      </c>
      <c r="I131" s="1617"/>
      <c r="J131" s="1617"/>
      <c r="K131" s="1617"/>
      <c r="L131" s="1617"/>
      <c r="M131" s="1617"/>
      <c r="N131" s="1617"/>
      <c r="O131" s="1617"/>
      <c r="P131" s="1617"/>
      <c r="Q131" s="1617"/>
      <c r="R131" s="314" t="str">
        <f>IF(R129="","",IF(R130="","",R129-R130))</f>
        <v/>
      </c>
    </row>
    <row r="132" spans="1:18" ht="12" customHeight="1" x14ac:dyDescent="0.25">
      <c r="A132" s="1597" t="s">
        <v>848</v>
      </c>
      <c r="B132" s="1598"/>
      <c r="C132" s="1598"/>
      <c r="D132" s="1598"/>
      <c r="E132" s="1598"/>
      <c r="F132" s="1598"/>
      <c r="G132" s="1598"/>
      <c r="H132" s="1598"/>
      <c r="I132" s="1598"/>
      <c r="J132" s="1598"/>
      <c r="K132" s="1598"/>
      <c r="L132" s="1598"/>
      <c r="M132" s="1598"/>
      <c r="N132" s="1598"/>
      <c r="O132" s="1598"/>
      <c r="P132" s="1598"/>
      <c r="Q132" s="1598"/>
      <c r="R132" s="1599"/>
    </row>
    <row r="133" spans="1:18" ht="15" customHeight="1" x14ac:dyDescent="0.25">
      <c r="A133" s="1600"/>
      <c r="B133" s="1601"/>
      <c r="C133" s="1601"/>
      <c r="D133" s="1601"/>
      <c r="E133" s="1601"/>
      <c r="F133" s="1601"/>
      <c r="G133" s="1601"/>
      <c r="H133" s="1601"/>
      <c r="I133" s="1601"/>
      <c r="J133" s="1601"/>
      <c r="K133" s="1602"/>
      <c r="L133" s="1603" t="s">
        <v>849</v>
      </c>
      <c r="M133" s="1604"/>
      <c r="N133" s="1604"/>
      <c r="O133" s="1604"/>
      <c r="P133" s="1604"/>
      <c r="Q133" s="1604"/>
      <c r="R133" s="1605"/>
    </row>
    <row r="134" spans="1:18" ht="15" customHeight="1" x14ac:dyDescent="0.25">
      <c r="A134" s="1600"/>
      <c r="B134" s="1601"/>
      <c r="C134" s="1601"/>
      <c r="D134" s="1601"/>
      <c r="E134" s="1601"/>
      <c r="F134" s="1601"/>
      <c r="G134" s="1601"/>
      <c r="H134" s="1601"/>
      <c r="I134" s="1601"/>
      <c r="J134" s="1601"/>
      <c r="K134" s="1602"/>
      <c r="L134" s="1606" t="s">
        <v>850</v>
      </c>
      <c r="M134" s="1361"/>
      <c r="N134" s="1361"/>
      <c r="O134" s="1361"/>
      <c r="P134" s="1361"/>
      <c r="Q134" s="1607"/>
      <c r="R134" s="1608"/>
    </row>
    <row r="135" spans="1:18" ht="15" customHeight="1" x14ac:dyDescent="0.25">
      <c r="A135" s="1600"/>
      <c r="B135" s="1601"/>
      <c r="C135" s="1601"/>
      <c r="D135" s="1601"/>
      <c r="E135" s="1601"/>
      <c r="F135" s="1601"/>
      <c r="G135" s="1601"/>
      <c r="H135" s="1601"/>
      <c r="I135" s="1601"/>
      <c r="J135" s="1601"/>
      <c r="K135" s="1602"/>
      <c r="L135" s="1609" t="s">
        <v>851</v>
      </c>
      <c r="M135" s="1610"/>
      <c r="N135" s="1610"/>
      <c r="O135" s="1610"/>
      <c r="P135" s="1610"/>
      <c r="Q135" s="1611"/>
      <c r="R135" s="1612"/>
    </row>
    <row r="136" spans="1:18" ht="3.75" customHeight="1" x14ac:dyDescent="0.25">
      <c r="A136" s="1583"/>
      <c r="B136" s="1584"/>
      <c r="C136" s="1584"/>
      <c r="D136" s="1584"/>
      <c r="E136" s="1584"/>
      <c r="F136" s="1584"/>
      <c r="G136" s="1584"/>
      <c r="H136" s="1584"/>
      <c r="I136" s="1584"/>
      <c r="J136" s="1584"/>
      <c r="K136" s="1584"/>
      <c r="L136" s="1584"/>
      <c r="M136" s="1584"/>
      <c r="N136" s="1584"/>
      <c r="O136" s="1584"/>
      <c r="P136" s="1584"/>
      <c r="Q136" s="1584"/>
      <c r="R136" s="1585"/>
    </row>
    <row r="137" spans="1:18" ht="15.75" customHeight="1" thickBot="1" x14ac:dyDescent="0.3">
      <c r="A137" s="1586"/>
      <c r="B137" s="1587"/>
      <c r="C137" s="1587"/>
      <c r="D137" s="1587"/>
      <c r="E137" s="1587"/>
      <c r="F137" s="1587"/>
      <c r="G137" s="1587"/>
      <c r="H137" s="1587"/>
      <c r="I137" s="1587"/>
      <c r="J137" s="1587"/>
      <c r="K137" s="1587"/>
      <c r="L137" s="1587"/>
      <c r="M137" s="1587"/>
      <c r="N137" s="1587"/>
      <c r="O137" s="1587"/>
      <c r="P137" s="1587"/>
      <c r="Q137" s="1587"/>
      <c r="R137" s="1588"/>
    </row>
    <row r="138" spans="1:18" ht="15.75" customHeight="1" x14ac:dyDescent="0.25">
      <c r="A138" s="1589" t="s">
        <v>735</v>
      </c>
      <c r="B138" s="1590"/>
      <c r="C138" s="1590"/>
      <c r="D138" s="1590"/>
      <c r="E138" s="1590"/>
      <c r="F138" s="1590"/>
      <c r="G138" s="1590"/>
      <c r="H138" s="1590"/>
      <c r="I138" s="1590"/>
      <c r="J138" s="1590"/>
      <c r="K138" s="1590"/>
      <c r="L138" s="1590"/>
      <c r="M138" s="1590"/>
      <c r="N138" s="1590"/>
      <c r="O138" s="1590"/>
      <c r="P138" s="1590"/>
      <c r="Q138" s="1590"/>
      <c r="R138" s="1591"/>
    </row>
    <row r="139" spans="1:18" ht="15.75" customHeight="1" x14ac:dyDescent="0.25">
      <c r="A139" s="1592" t="s">
        <v>736</v>
      </c>
      <c r="B139" s="1593"/>
      <c r="C139" s="1593"/>
      <c r="D139" s="1593"/>
      <c r="E139" s="1593"/>
      <c r="F139" s="1593"/>
      <c r="G139" s="1593"/>
      <c r="H139" s="1593"/>
      <c r="I139" s="1593"/>
      <c r="J139" s="1593"/>
      <c r="K139" s="1593"/>
      <c r="L139" s="1593"/>
      <c r="M139" s="1593"/>
      <c r="N139" s="1593"/>
      <c r="O139" s="1593"/>
      <c r="P139" s="1593"/>
      <c r="Q139" s="1594" t="s">
        <v>737</v>
      </c>
      <c r="R139" s="1595"/>
    </row>
    <row r="140" spans="1:18" x14ac:dyDescent="0.25">
      <c r="A140" s="193"/>
      <c r="B140" s="193"/>
      <c r="C140" s="193"/>
      <c r="D140" s="193"/>
      <c r="E140" s="193"/>
      <c r="F140" s="193"/>
      <c r="G140" s="193"/>
      <c r="H140" s="193"/>
      <c r="I140" s="193"/>
      <c r="J140" s="193"/>
      <c r="K140" s="193"/>
      <c r="L140" s="193"/>
      <c r="M140" s="193"/>
      <c r="N140" s="193"/>
      <c r="O140" s="193"/>
      <c r="P140" s="193"/>
      <c r="Q140" s="193"/>
      <c r="R140" s="193"/>
    </row>
    <row r="141" spans="1:18" x14ac:dyDescent="0.25">
      <c r="A141" s="1596" t="s">
        <v>852</v>
      </c>
      <c r="B141" s="1596"/>
      <c r="C141" s="1596"/>
      <c r="D141" s="193"/>
      <c r="E141" s="193"/>
      <c r="F141" s="193"/>
      <c r="G141" s="193"/>
      <c r="H141" s="193"/>
      <c r="I141" s="193"/>
      <c r="J141" s="193"/>
      <c r="K141" s="193"/>
      <c r="L141" s="193"/>
      <c r="M141" s="193"/>
      <c r="N141" s="193"/>
      <c r="O141" s="193"/>
      <c r="P141" s="193"/>
      <c r="Q141" s="193"/>
      <c r="R141" s="193"/>
    </row>
    <row r="142" spans="1:18" x14ac:dyDescent="0.25">
      <c r="A142" s="193"/>
      <c r="B142" s="193"/>
      <c r="C142" s="193"/>
      <c r="D142" s="193"/>
      <c r="E142" s="193"/>
      <c r="F142" s="193"/>
      <c r="G142" s="193"/>
      <c r="H142" s="193"/>
      <c r="I142" s="193"/>
      <c r="J142" s="193"/>
      <c r="K142" s="193"/>
      <c r="L142" s="193"/>
      <c r="M142" s="193"/>
      <c r="N142" s="193"/>
      <c r="O142" s="193"/>
      <c r="P142" s="193"/>
      <c r="Q142" s="193"/>
      <c r="R142" s="193"/>
    </row>
    <row r="143" spans="1:18" x14ac:dyDescent="0.25">
      <c r="A143" s="193"/>
      <c r="B143" s="193"/>
      <c r="C143" s="193"/>
      <c r="D143" s="193"/>
      <c r="E143" s="193"/>
      <c r="F143" s="193"/>
      <c r="G143" s="193"/>
      <c r="H143" s="193"/>
      <c r="I143" s="193"/>
      <c r="J143" s="193"/>
      <c r="K143" s="193"/>
      <c r="L143" s="193"/>
      <c r="M143" s="193"/>
      <c r="N143" s="193"/>
      <c r="O143" s="193"/>
      <c r="P143" s="193"/>
      <c r="Q143" s="193"/>
      <c r="R143" s="193"/>
    </row>
    <row r="144" spans="1:18" x14ac:dyDescent="0.25">
      <c r="A144" s="193"/>
      <c r="B144" s="193"/>
      <c r="C144" s="193"/>
      <c r="D144" s="193"/>
      <c r="E144" s="193"/>
      <c r="F144" s="193"/>
      <c r="G144" s="193"/>
      <c r="H144" s="193"/>
      <c r="I144" s="193"/>
      <c r="J144" s="193"/>
      <c r="K144" s="193"/>
      <c r="L144" s="193"/>
      <c r="M144" s="193"/>
      <c r="N144" s="193"/>
      <c r="O144" s="193"/>
      <c r="P144" s="193"/>
      <c r="Q144" s="193"/>
      <c r="R144" s="193"/>
    </row>
    <row r="145" spans="1:18" x14ac:dyDescent="0.25">
      <c r="A145" s="193"/>
      <c r="B145" s="193"/>
      <c r="C145" s="193"/>
      <c r="D145" s="193"/>
      <c r="E145" s="193"/>
      <c r="F145" s="193"/>
      <c r="G145" s="193"/>
      <c r="H145" s="193"/>
      <c r="I145" s="193"/>
      <c r="J145" s="193"/>
      <c r="K145" s="193"/>
      <c r="L145" s="193"/>
      <c r="M145" s="193"/>
      <c r="N145" s="193"/>
      <c r="O145" s="193"/>
      <c r="P145" s="193"/>
      <c r="Q145" s="193"/>
      <c r="R145" s="193"/>
    </row>
    <row r="146" spans="1:18" x14ac:dyDescent="0.25">
      <c r="A146" s="193"/>
      <c r="B146" s="193"/>
      <c r="C146" s="193"/>
      <c r="D146" s="193"/>
      <c r="E146" s="193"/>
      <c r="F146" s="193"/>
      <c r="G146" s="193"/>
      <c r="H146" s="193"/>
      <c r="I146" s="193"/>
      <c r="J146" s="193"/>
      <c r="K146" s="193"/>
      <c r="L146" s="193"/>
      <c r="M146" s="193"/>
      <c r="N146" s="193"/>
      <c r="O146" s="193"/>
      <c r="P146" s="193"/>
      <c r="Q146" s="193"/>
      <c r="R146" s="193"/>
    </row>
    <row r="147" spans="1:18" x14ac:dyDescent="0.25">
      <c r="A147" s="193"/>
      <c r="B147" s="193"/>
      <c r="C147" s="193"/>
      <c r="D147" s="193"/>
      <c r="E147" s="193"/>
      <c r="F147" s="193"/>
      <c r="G147" s="193"/>
      <c r="H147" s="193"/>
      <c r="I147" s="193"/>
      <c r="J147" s="193"/>
      <c r="K147" s="193"/>
      <c r="L147" s="193"/>
      <c r="M147" s="193"/>
      <c r="N147" s="193"/>
      <c r="O147" s="193"/>
      <c r="P147" s="193"/>
      <c r="Q147" s="193"/>
      <c r="R147" s="193"/>
    </row>
    <row r="148" spans="1:18" x14ac:dyDescent="0.25">
      <c r="A148" s="193"/>
      <c r="B148" s="193"/>
      <c r="C148" s="193"/>
      <c r="D148" s="193"/>
      <c r="E148" s="193"/>
      <c r="F148" s="193"/>
      <c r="G148" s="193"/>
      <c r="H148" s="193"/>
      <c r="I148" s="193"/>
      <c r="J148" s="193"/>
      <c r="K148" s="193"/>
      <c r="L148" s="193"/>
      <c r="M148" s="193"/>
      <c r="N148" s="193"/>
      <c r="O148" s="193"/>
      <c r="P148" s="193"/>
      <c r="Q148" s="193"/>
      <c r="R148" s="193"/>
    </row>
    <row r="149" spans="1:18" x14ac:dyDescent="0.25">
      <c r="A149" s="193"/>
      <c r="B149" s="193"/>
      <c r="C149" s="193"/>
      <c r="D149" s="193"/>
      <c r="E149" s="193"/>
      <c r="F149" s="193"/>
      <c r="G149" s="193"/>
      <c r="H149" s="193"/>
      <c r="I149" s="193"/>
      <c r="J149" s="193"/>
      <c r="K149" s="193"/>
      <c r="L149" s="193"/>
      <c r="M149" s="193"/>
      <c r="N149" s="193"/>
      <c r="O149" s="193"/>
      <c r="P149" s="193"/>
      <c r="Q149" s="193"/>
      <c r="R149" s="193"/>
    </row>
    <row r="150" spans="1:18" x14ac:dyDescent="0.25">
      <c r="A150" s="193"/>
      <c r="B150" s="193"/>
      <c r="C150" s="193"/>
      <c r="D150" s="193"/>
      <c r="E150" s="193"/>
      <c r="F150" s="193"/>
      <c r="G150" s="193"/>
      <c r="H150" s="193"/>
      <c r="I150" s="193"/>
      <c r="J150" s="193"/>
      <c r="K150" s="193"/>
      <c r="L150" s="193"/>
      <c r="M150" s="193"/>
      <c r="N150" s="193"/>
      <c r="O150" s="193"/>
      <c r="P150" s="193"/>
      <c r="Q150" s="193"/>
      <c r="R150" s="193"/>
    </row>
    <row r="151" spans="1:18" x14ac:dyDescent="0.25">
      <c r="A151" s="193"/>
      <c r="B151" s="193"/>
      <c r="C151" s="193"/>
      <c r="D151" s="193"/>
      <c r="E151" s="193"/>
      <c r="F151" s="193"/>
      <c r="G151" s="193"/>
      <c r="H151" s="193"/>
      <c r="I151" s="193"/>
      <c r="J151" s="193"/>
      <c r="K151" s="193"/>
      <c r="L151" s="193"/>
      <c r="M151" s="193"/>
      <c r="N151" s="193"/>
      <c r="O151" s="193"/>
      <c r="P151" s="193"/>
      <c r="Q151" s="193"/>
      <c r="R151" s="193"/>
    </row>
    <row r="152" spans="1:18" x14ac:dyDescent="0.25">
      <c r="A152" s="193"/>
      <c r="B152" s="193"/>
      <c r="C152" s="193"/>
      <c r="D152" s="193"/>
      <c r="E152" s="193"/>
      <c r="F152" s="193"/>
      <c r="G152" s="193"/>
      <c r="H152" s="193"/>
      <c r="I152" s="193"/>
      <c r="J152" s="193"/>
      <c r="K152" s="193"/>
      <c r="L152" s="193"/>
      <c r="M152" s="193"/>
      <c r="N152" s="193"/>
      <c r="O152" s="193"/>
      <c r="P152" s="193"/>
      <c r="Q152" s="193"/>
      <c r="R152" s="193"/>
    </row>
    <row r="153" spans="1:18" x14ac:dyDescent="0.25">
      <c r="A153" s="193"/>
      <c r="B153" s="193"/>
      <c r="C153" s="193"/>
      <c r="D153" s="193"/>
      <c r="E153" s="193"/>
      <c r="F153" s="193"/>
      <c r="G153" s="193"/>
      <c r="H153" s="193"/>
      <c r="I153" s="193"/>
      <c r="J153" s="193"/>
      <c r="K153" s="193"/>
      <c r="L153" s="193"/>
      <c r="M153" s="193"/>
      <c r="N153" s="193"/>
      <c r="O153" s="193"/>
      <c r="P153" s="193"/>
      <c r="Q153" s="193"/>
      <c r="R153" s="193"/>
    </row>
    <row r="154" spans="1:18" x14ac:dyDescent="0.25">
      <c r="A154" s="193"/>
      <c r="B154" s="193"/>
      <c r="C154" s="193"/>
      <c r="D154" s="193"/>
      <c r="E154" s="193"/>
      <c r="F154" s="193"/>
      <c r="G154" s="193"/>
      <c r="H154" s="193"/>
      <c r="I154" s="193"/>
      <c r="J154" s="193"/>
      <c r="K154" s="193"/>
      <c r="L154" s="193"/>
      <c r="M154" s="193"/>
      <c r="N154" s="193"/>
      <c r="O154" s="193"/>
      <c r="P154" s="193"/>
      <c r="Q154" s="193"/>
      <c r="R154" s="193"/>
    </row>
    <row r="155" spans="1:18" x14ac:dyDescent="0.25">
      <c r="A155" s="193"/>
      <c r="B155" s="193"/>
      <c r="C155" s="193"/>
      <c r="D155" s="193"/>
      <c r="E155" s="193"/>
      <c r="F155" s="193"/>
      <c r="G155" s="193"/>
      <c r="H155" s="193"/>
      <c r="I155" s="193"/>
      <c r="J155" s="193"/>
      <c r="K155" s="193"/>
      <c r="L155" s="193"/>
      <c r="M155" s="193"/>
      <c r="N155" s="193"/>
      <c r="O155" s="193"/>
      <c r="P155" s="193"/>
      <c r="Q155" s="193"/>
      <c r="R155" s="193"/>
    </row>
    <row r="156" spans="1:18" x14ac:dyDescent="0.25">
      <c r="A156" s="193"/>
      <c r="B156" s="193"/>
      <c r="C156" s="193"/>
      <c r="D156" s="193"/>
      <c r="E156" s="193"/>
      <c r="F156" s="193"/>
      <c r="G156" s="193"/>
      <c r="H156" s="193"/>
      <c r="I156" s="193"/>
      <c r="J156" s="193"/>
      <c r="K156" s="193"/>
      <c r="L156" s="193"/>
      <c r="M156" s="193"/>
      <c r="N156" s="193"/>
      <c r="O156" s="193"/>
      <c r="P156" s="193"/>
      <c r="Q156" s="193"/>
      <c r="R156" s="193"/>
    </row>
    <row r="157" spans="1:18" x14ac:dyDescent="0.25">
      <c r="A157" s="193"/>
      <c r="B157" s="193"/>
      <c r="C157" s="193"/>
      <c r="D157" s="193"/>
      <c r="E157" s="193"/>
      <c r="F157" s="193"/>
      <c r="G157" s="193"/>
      <c r="H157" s="193"/>
      <c r="I157" s="193"/>
      <c r="J157" s="193"/>
      <c r="K157" s="193"/>
      <c r="L157" s="193"/>
      <c r="M157" s="193"/>
      <c r="N157" s="193"/>
      <c r="O157" s="193"/>
      <c r="P157" s="193"/>
      <c r="Q157" s="193"/>
      <c r="R157" s="193"/>
    </row>
    <row r="158" spans="1:18" x14ac:dyDescent="0.25">
      <c r="A158" s="193"/>
      <c r="B158" s="193"/>
      <c r="C158" s="193"/>
      <c r="D158" s="193"/>
      <c r="E158" s="193"/>
      <c r="F158" s="193"/>
      <c r="G158" s="193"/>
      <c r="H158" s="193"/>
      <c r="I158" s="193"/>
      <c r="J158" s="193"/>
      <c r="K158" s="193"/>
      <c r="L158" s="193"/>
      <c r="M158" s="193"/>
      <c r="N158" s="193"/>
      <c r="O158" s="193"/>
      <c r="P158" s="193"/>
      <c r="Q158" s="193"/>
      <c r="R158" s="193"/>
    </row>
    <row r="159" spans="1:18" x14ac:dyDescent="0.25">
      <c r="A159" s="193"/>
      <c r="B159" s="193"/>
      <c r="C159" s="193"/>
      <c r="D159" s="193"/>
      <c r="E159" s="193"/>
      <c r="F159" s="193"/>
      <c r="G159" s="193"/>
      <c r="H159" s="193"/>
      <c r="I159" s="193"/>
      <c r="J159" s="193"/>
      <c r="K159" s="193"/>
      <c r="L159" s="193"/>
      <c r="M159" s="193"/>
      <c r="N159" s="193"/>
      <c r="O159" s="193"/>
      <c r="P159" s="193"/>
      <c r="Q159" s="193"/>
      <c r="R159" s="193"/>
    </row>
    <row r="160" spans="1:18" x14ac:dyDescent="0.25">
      <c r="A160" s="193"/>
      <c r="B160" s="193"/>
      <c r="C160" s="193"/>
      <c r="D160" s="193"/>
      <c r="E160" s="193"/>
      <c r="F160" s="193"/>
      <c r="G160" s="193"/>
      <c r="H160" s="193"/>
      <c r="I160" s="193"/>
      <c r="J160" s="193"/>
      <c r="K160" s="193"/>
      <c r="L160" s="193"/>
      <c r="M160" s="193"/>
      <c r="N160" s="193"/>
      <c r="O160" s="193"/>
      <c r="P160" s="193"/>
      <c r="Q160" s="193"/>
      <c r="R160" s="193"/>
    </row>
    <row r="161" spans="1:18" x14ac:dyDescent="0.25">
      <c r="A161" s="193"/>
      <c r="B161" s="193"/>
      <c r="C161" s="193"/>
      <c r="D161" s="193"/>
      <c r="E161" s="193"/>
      <c r="F161" s="193"/>
      <c r="G161" s="193"/>
      <c r="H161" s="193"/>
      <c r="I161" s="193"/>
      <c r="J161" s="193"/>
      <c r="K161" s="193"/>
      <c r="L161" s="193"/>
      <c r="M161" s="193"/>
      <c r="N161" s="193"/>
      <c r="O161" s="193"/>
      <c r="P161" s="193"/>
      <c r="Q161" s="193"/>
      <c r="R161" s="193"/>
    </row>
    <row r="162" spans="1:18" x14ac:dyDescent="0.25">
      <c r="A162" s="193"/>
      <c r="B162" s="193"/>
      <c r="C162" s="193"/>
      <c r="D162" s="193"/>
      <c r="E162" s="193"/>
      <c r="F162" s="193"/>
      <c r="G162" s="193"/>
      <c r="H162" s="193"/>
      <c r="I162" s="193"/>
      <c r="J162" s="193"/>
      <c r="K162" s="193"/>
      <c r="L162" s="193"/>
      <c r="M162" s="193"/>
      <c r="N162" s="193"/>
      <c r="O162" s="193"/>
      <c r="P162" s="193"/>
      <c r="Q162" s="193"/>
      <c r="R162" s="193"/>
    </row>
    <row r="163" spans="1:18" x14ac:dyDescent="0.25">
      <c r="A163" s="193"/>
      <c r="B163" s="193"/>
      <c r="C163" s="193"/>
      <c r="D163" s="193"/>
      <c r="E163" s="193"/>
      <c r="F163" s="193"/>
      <c r="G163" s="193"/>
      <c r="H163" s="193"/>
      <c r="I163" s="193"/>
      <c r="J163" s="193"/>
      <c r="K163" s="193"/>
      <c r="L163" s="193"/>
      <c r="M163" s="193"/>
      <c r="N163" s="193"/>
      <c r="O163" s="193"/>
      <c r="P163" s="193"/>
      <c r="Q163" s="193"/>
      <c r="R163" s="193"/>
    </row>
    <row r="164" spans="1:18" x14ac:dyDescent="0.25">
      <c r="A164" s="193"/>
      <c r="B164" s="193"/>
      <c r="C164" s="193"/>
      <c r="D164" s="193"/>
      <c r="E164" s="193"/>
      <c r="F164" s="193"/>
      <c r="G164" s="193"/>
      <c r="H164" s="193"/>
      <c r="I164" s="193"/>
      <c r="J164" s="193"/>
      <c r="K164" s="193"/>
      <c r="L164" s="193"/>
      <c r="M164" s="193"/>
      <c r="N164" s="193"/>
      <c r="O164" s="193"/>
      <c r="P164" s="193"/>
      <c r="Q164" s="193"/>
      <c r="R164" s="193"/>
    </row>
    <row r="165" spans="1:18" x14ac:dyDescent="0.25">
      <c r="A165" s="193"/>
      <c r="B165" s="193"/>
      <c r="C165" s="193"/>
      <c r="D165" s="193"/>
      <c r="E165" s="193"/>
      <c r="F165" s="193"/>
      <c r="G165" s="193"/>
      <c r="H165" s="193"/>
      <c r="I165" s="193"/>
      <c r="J165" s="193"/>
      <c r="K165" s="193"/>
      <c r="L165" s="193"/>
      <c r="M165" s="193"/>
      <c r="N165" s="193"/>
      <c r="O165" s="193"/>
      <c r="P165" s="193"/>
      <c r="Q165" s="193"/>
      <c r="R165" s="193"/>
    </row>
    <row r="166" spans="1:18" x14ac:dyDescent="0.25">
      <c r="A166" s="193"/>
      <c r="B166" s="193"/>
      <c r="C166" s="193"/>
      <c r="D166" s="193"/>
      <c r="E166" s="193"/>
      <c r="F166" s="193"/>
      <c r="G166" s="193"/>
      <c r="H166" s="193"/>
      <c r="I166" s="193"/>
      <c r="J166" s="193"/>
      <c r="K166" s="193"/>
      <c r="L166" s="193"/>
      <c r="M166" s="193"/>
      <c r="N166" s="193"/>
      <c r="O166" s="193"/>
      <c r="P166" s="193"/>
      <c r="Q166" s="193"/>
      <c r="R166" s="193"/>
    </row>
    <row r="167" spans="1:18" x14ac:dyDescent="0.25">
      <c r="A167" s="193"/>
      <c r="B167" s="193"/>
      <c r="C167" s="193"/>
      <c r="D167" s="193"/>
      <c r="E167" s="193"/>
      <c r="F167" s="193"/>
      <c r="G167" s="193"/>
      <c r="H167" s="193"/>
      <c r="I167" s="193"/>
      <c r="J167" s="193"/>
      <c r="K167" s="193"/>
      <c r="L167" s="193"/>
      <c r="M167" s="193"/>
      <c r="N167" s="193"/>
      <c r="O167" s="193"/>
      <c r="P167" s="193"/>
      <c r="Q167" s="193"/>
      <c r="R167" s="193"/>
    </row>
  </sheetData>
  <sheetProtection algorithmName="SHA-512" hashValue="aErFdSJSsUBWxBiJuCfcD5qgeL42j2uYtzcXQRLTOIREbLNw9GXI2fANsxHsL5c/f+mBx0GY4rMDfA5iWDj7eA==" saltValue="WcZ95SFWTDYhFA/X5ejtTw==" spinCount="100000" sheet="1" selectLockedCells="1"/>
  <mergeCells count="337">
    <mergeCell ref="A1:R1"/>
    <mergeCell ref="A2:R2"/>
    <mergeCell ref="A4:R4"/>
    <mergeCell ref="A5:R5"/>
    <mergeCell ref="A7:B7"/>
    <mergeCell ref="C7:G7"/>
    <mergeCell ref="H7:I7"/>
    <mergeCell ref="J7:M7"/>
    <mergeCell ref="N7:O7"/>
    <mergeCell ref="P7:R7"/>
    <mergeCell ref="A6:B6"/>
    <mergeCell ref="C6:H6"/>
    <mergeCell ref="I6:J6"/>
    <mergeCell ref="K6:M6"/>
    <mergeCell ref="O6:P6"/>
    <mergeCell ref="Q6:R6"/>
    <mergeCell ref="A10:R10"/>
    <mergeCell ref="A11:D11"/>
    <mergeCell ref="E11:J11"/>
    <mergeCell ref="M11:R11"/>
    <mergeCell ref="A12:D12"/>
    <mergeCell ref="E12:J12"/>
    <mergeCell ref="M12:R12"/>
    <mergeCell ref="A8:D8"/>
    <mergeCell ref="E8:I8"/>
    <mergeCell ref="J8:M8"/>
    <mergeCell ref="N8:R8"/>
    <mergeCell ref="A9:I9"/>
    <mergeCell ref="K9:R9"/>
    <mergeCell ref="A13:D13"/>
    <mergeCell ref="E13:J13"/>
    <mergeCell ref="M13:R13"/>
    <mergeCell ref="A14:D16"/>
    <mergeCell ref="E14:J14"/>
    <mergeCell ref="M14:R14"/>
    <mergeCell ref="E15:J15"/>
    <mergeCell ref="M15:R15"/>
    <mergeCell ref="E16:J16"/>
    <mergeCell ref="M16:R16"/>
    <mergeCell ref="A17:D17"/>
    <mergeCell ref="E17:J17"/>
    <mergeCell ref="M17:R17"/>
    <mergeCell ref="M18:R18"/>
    <mergeCell ref="A19:D20"/>
    <mergeCell ref="E19:J19"/>
    <mergeCell ref="M19:R19"/>
    <mergeCell ref="E20:J20"/>
    <mergeCell ref="M20:R20"/>
    <mergeCell ref="L24:L25"/>
    <mergeCell ref="M24:R24"/>
    <mergeCell ref="M25:R25"/>
    <mergeCell ref="E26:J26"/>
    <mergeCell ref="M26:R26"/>
    <mergeCell ref="A27:H27"/>
    <mergeCell ref="I27:R27"/>
    <mergeCell ref="A21:D21"/>
    <mergeCell ref="E21:J21"/>
    <mergeCell ref="M21:R21"/>
    <mergeCell ref="A22:D26"/>
    <mergeCell ref="E22:J22"/>
    <mergeCell ref="M22:R22"/>
    <mergeCell ref="E23:J23"/>
    <mergeCell ref="M23:R23"/>
    <mergeCell ref="E24:J25"/>
    <mergeCell ref="K24:K25"/>
    <mergeCell ref="A33:R33"/>
    <mergeCell ref="A34:H34"/>
    <mergeCell ref="I34:J34"/>
    <mergeCell ref="A35:J35"/>
    <mergeCell ref="A36:J36"/>
    <mergeCell ref="A37:J37"/>
    <mergeCell ref="A28:J28"/>
    <mergeCell ref="K28:L28"/>
    <mergeCell ref="M28:N28"/>
    <mergeCell ref="O28:R28"/>
    <mergeCell ref="A29:R29"/>
    <mergeCell ref="A30:R32"/>
    <mergeCell ref="A44:P44"/>
    <mergeCell ref="Q44:R44"/>
    <mergeCell ref="A45:R45"/>
    <mergeCell ref="A46:R46"/>
    <mergeCell ref="C47:F47"/>
    <mergeCell ref="J47:R47"/>
    <mergeCell ref="A38:J38"/>
    <mergeCell ref="A39:J39"/>
    <mergeCell ref="A40:J40"/>
    <mergeCell ref="A41:R41"/>
    <mergeCell ref="A42:R42"/>
    <mergeCell ref="A43:R43"/>
    <mergeCell ref="A51:A52"/>
    <mergeCell ref="B51:C52"/>
    <mergeCell ref="D51:D52"/>
    <mergeCell ref="E51:F51"/>
    <mergeCell ref="I51:J51"/>
    <mergeCell ref="O51:P51"/>
    <mergeCell ref="A48:R48"/>
    <mergeCell ref="A49:R49"/>
    <mergeCell ref="A50:D50"/>
    <mergeCell ref="E50:F50"/>
    <mergeCell ref="G50:L50"/>
    <mergeCell ref="M50:R50"/>
    <mergeCell ref="H57:J57"/>
    <mergeCell ref="N57:P57"/>
    <mergeCell ref="A58:R58"/>
    <mergeCell ref="A59:R59"/>
    <mergeCell ref="A60:R62"/>
    <mergeCell ref="A63:R63"/>
    <mergeCell ref="A53:B53"/>
    <mergeCell ref="A54:B54"/>
    <mergeCell ref="A55:B55"/>
    <mergeCell ref="A56:B56"/>
    <mergeCell ref="A57:B57"/>
    <mergeCell ref="C57:F57"/>
    <mergeCell ref="R71:R72"/>
    <mergeCell ref="A72:G72"/>
    <mergeCell ref="H72:K72"/>
    <mergeCell ref="M72:O72"/>
    <mergeCell ref="A64:R64"/>
    <mergeCell ref="A65:R65"/>
    <mergeCell ref="A66:R66"/>
    <mergeCell ref="A67:R67"/>
    <mergeCell ref="A68:R68"/>
    <mergeCell ref="A69:K69"/>
    <mergeCell ref="L69:O69"/>
    <mergeCell ref="P69:R70"/>
    <mergeCell ref="A70:G70"/>
    <mergeCell ref="H70:K70"/>
    <mergeCell ref="A73:G73"/>
    <mergeCell ref="H73:K73"/>
    <mergeCell ref="M73:O73"/>
    <mergeCell ref="P73:Q73"/>
    <mergeCell ref="A74:G74"/>
    <mergeCell ref="H74:K74"/>
    <mergeCell ref="M74:O74"/>
    <mergeCell ref="P74:Q74"/>
    <mergeCell ref="L70:O70"/>
    <mergeCell ref="A71:G71"/>
    <mergeCell ref="H71:K71"/>
    <mergeCell ref="M71:O71"/>
    <mergeCell ref="P71:Q72"/>
    <mergeCell ref="P77:Q77"/>
    <mergeCell ref="A78:G78"/>
    <mergeCell ref="H78:K78"/>
    <mergeCell ref="M78:O78"/>
    <mergeCell ref="P78:R87"/>
    <mergeCell ref="A79:G79"/>
    <mergeCell ref="H79:K79"/>
    <mergeCell ref="A75:G75"/>
    <mergeCell ref="H75:K75"/>
    <mergeCell ref="M75:O75"/>
    <mergeCell ref="P75:Q75"/>
    <mergeCell ref="A76:G76"/>
    <mergeCell ref="H76:K76"/>
    <mergeCell ref="M76:O76"/>
    <mergeCell ref="P76:Q76"/>
    <mergeCell ref="M79:O79"/>
    <mergeCell ref="A80:G80"/>
    <mergeCell ref="H80:K80"/>
    <mergeCell ref="M80:O80"/>
    <mergeCell ref="A81:G81"/>
    <mergeCell ref="H81:K81"/>
    <mergeCell ref="M81:O81"/>
    <mergeCell ref="A77:G77"/>
    <mergeCell ref="H77:K77"/>
    <mergeCell ref="M77:O77"/>
    <mergeCell ref="A84:G84"/>
    <mergeCell ref="H84:K84"/>
    <mergeCell ref="M84:O84"/>
    <mergeCell ref="A85:K87"/>
    <mergeCell ref="M85:O85"/>
    <mergeCell ref="M86:O86"/>
    <mergeCell ref="M87:O87"/>
    <mergeCell ref="A82:G82"/>
    <mergeCell ref="H82:K82"/>
    <mergeCell ref="M82:O82"/>
    <mergeCell ref="A83:G83"/>
    <mergeCell ref="H83:K83"/>
    <mergeCell ref="M83:O83"/>
    <mergeCell ref="A93:R93"/>
    <mergeCell ref="A94:B94"/>
    <mergeCell ref="C94:F94"/>
    <mergeCell ref="G94:I94"/>
    <mergeCell ref="J94:R94"/>
    <mergeCell ref="A95:R95"/>
    <mergeCell ref="A88:R88"/>
    <mergeCell ref="A89:R89"/>
    <mergeCell ref="A90:R90"/>
    <mergeCell ref="A91:P91"/>
    <mergeCell ref="Q91:R91"/>
    <mergeCell ref="A92:R92"/>
    <mergeCell ref="A99:G99"/>
    <mergeCell ref="H99:I99"/>
    <mergeCell ref="J99:K99"/>
    <mergeCell ref="L99:M99"/>
    <mergeCell ref="N99:P99"/>
    <mergeCell ref="Q99:R99"/>
    <mergeCell ref="A96:E96"/>
    <mergeCell ref="F96:G96"/>
    <mergeCell ref="J96:N96"/>
    <mergeCell ref="O96:P96"/>
    <mergeCell ref="A97:R97"/>
    <mergeCell ref="A98:R98"/>
    <mergeCell ref="A102:G102"/>
    <mergeCell ref="H102:I102"/>
    <mergeCell ref="J102:K102"/>
    <mergeCell ref="L102:M102"/>
    <mergeCell ref="N102:O102"/>
    <mergeCell ref="P102:Q102"/>
    <mergeCell ref="A100:R100"/>
    <mergeCell ref="A101:G101"/>
    <mergeCell ref="H101:I101"/>
    <mergeCell ref="J101:K101"/>
    <mergeCell ref="L101:M101"/>
    <mergeCell ref="N101:O101"/>
    <mergeCell ref="P101:Q101"/>
    <mergeCell ref="A104:G104"/>
    <mergeCell ref="H104:I104"/>
    <mergeCell ref="J104:K104"/>
    <mergeCell ref="L104:M104"/>
    <mergeCell ref="N104:O104"/>
    <mergeCell ref="P104:Q104"/>
    <mergeCell ref="A103:G103"/>
    <mergeCell ref="H103:I103"/>
    <mergeCell ref="J103:K103"/>
    <mergeCell ref="L103:M103"/>
    <mergeCell ref="N103:O103"/>
    <mergeCell ref="P103:Q103"/>
    <mergeCell ref="A106:G106"/>
    <mergeCell ref="H106:I106"/>
    <mergeCell ref="J106:K106"/>
    <mergeCell ref="L106:M106"/>
    <mergeCell ref="N106:O106"/>
    <mergeCell ref="P106:Q106"/>
    <mergeCell ref="A105:G105"/>
    <mergeCell ref="H105:I105"/>
    <mergeCell ref="J105:K105"/>
    <mergeCell ref="L105:M105"/>
    <mergeCell ref="N105:O105"/>
    <mergeCell ref="P105:Q105"/>
    <mergeCell ref="A108:G108"/>
    <mergeCell ref="H108:I108"/>
    <mergeCell ref="J108:K108"/>
    <mergeCell ref="L108:M108"/>
    <mergeCell ref="N108:O108"/>
    <mergeCell ref="P108:Q108"/>
    <mergeCell ref="A107:G107"/>
    <mergeCell ref="H107:I107"/>
    <mergeCell ref="J107:K107"/>
    <mergeCell ref="L107:M107"/>
    <mergeCell ref="N107:O107"/>
    <mergeCell ref="P107:Q107"/>
    <mergeCell ref="A111:Q111"/>
    <mergeCell ref="A112:Q112"/>
    <mergeCell ref="A113:Q113"/>
    <mergeCell ref="A114:G115"/>
    <mergeCell ref="H114:Q114"/>
    <mergeCell ref="H115:Q115"/>
    <mergeCell ref="A109:L109"/>
    <mergeCell ref="M109:O109"/>
    <mergeCell ref="P109:Q109"/>
    <mergeCell ref="A110:I110"/>
    <mergeCell ref="J110:N110"/>
    <mergeCell ref="P110:Q110"/>
    <mergeCell ref="A118:G118"/>
    <mergeCell ref="H118:I118"/>
    <mergeCell ref="J118:K118"/>
    <mergeCell ref="L118:M118"/>
    <mergeCell ref="N118:O118"/>
    <mergeCell ref="P118:Q118"/>
    <mergeCell ref="A116:R116"/>
    <mergeCell ref="A117:G117"/>
    <mergeCell ref="H117:I117"/>
    <mergeCell ref="J117:K117"/>
    <mergeCell ref="L117:M117"/>
    <mergeCell ref="N117:O117"/>
    <mergeCell ref="P117:Q117"/>
    <mergeCell ref="A120:G120"/>
    <mergeCell ref="H120:I120"/>
    <mergeCell ref="J120:K120"/>
    <mergeCell ref="L120:M120"/>
    <mergeCell ref="N120:O120"/>
    <mergeCell ref="P120:Q120"/>
    <mergeCell ref="A119:G119"/>
    <mergeCell ref="H119:I119"/>
    <mergeCell ref="J119:K119"/>
    <mergeCell ref="L119:M119"/>
    <mergeCell ref="N119:O119"/>
    <mergeCell ref="P119:Q119"/>
    <mergeCell ref="A122:G122"/>
    <mergeCell ref="H122:I122"/>
    <mergeCell ref="J122:K122"/>
    <mergeCell ref="L122:M122"/>
    <mergeCell ref="N122:O122"/>
    <mergeCell ref="P122:Q122"/>
    <mergeCell ref="A121:G121"/>
    <mergeCell ref="H121:I121"/>
    <mergeCell ref="J121:K121"/>
    <mergeCell ref="L121:M121"/>
    <mergeCell ref="N121:O121"/>
    <mergeCell ref="P121:Q121"/>
    <mergeCell ref="A124:G124"/>
    <mergeCell ref="H124:I124"/>
    <mergeCell ref="J124:K124"/>
    <mergeCell ref="L124:M124"/>
    <mergeCell ref="N124:O124"/>
    <mergeCell ref="P124:Q124"/>
    <mergeCell ref="A123:G123"/>
    <mergeCell ref="H123:I123"/>
    <mergeCell ref="J123:K123"/>
    <mergeCell ref="L123:M123"/>
    <mergeCell ref="N123:O123"/>
    <mergeCell ref="P123:Q123"/>
    <mergeCell ref="A127:Q127"/>
    <mergeCell ref="A128:Q128"/>
    <mergeCell ref="A129:Q129"/>
    <mergeCell ref="A130:G131"/>
    <mergeCell ref="H130:Q130"/>
    <mergeCell ref="H131:Q131"/>
    <mergeCell ref="A125:L125"/>
    <mergeCell ref="M125:O125"/>
    <mergeCell ref="P125:Q125"/>
    <mergeCell ref="A126:I126"/>
    <mergeCell ref="J126:N126"/>
    <mergeCell ref="P126:Q126"/>
    <mergeCell ref="A136:R136"/>
    <mergeCell ref="A137:R137"/>
    <mergeCell ref="A138:R138"/>
    <mergeCell ref="A139:P139"/>
    <mergeCell ref="Q139:R139"/>
    <mergeCell ref="A141:C141"/>
    <mergeCell ref="A132:R132"/>
    <mergeCell ref="A133:K135"/>
    <mergeCell ref="L133:R133"/>
    <mergeCell ref="L134:P134"/>
    <mergeCell ref="Q134:R134"/>
    <mergeCell ref="L135:P135"/>
    <mergeCell ref="Q135:R135"/>
  </mergeCells>
  <conditionalFormatting sqref="I27:R27">
    <cfRule type="expression" dxfId="13" priority="1">
      <formula>L12="Y"</formula>
    </cfRule>
    <cfRule type="expression" dxfId="12" priority="2">
      <formula>K12="Y"</formula>
    </cfRule>
  </conditionalFormatting>
  <conditionalFormatting sqref="L35 N35 P35">
    <cfRule type="expression" dxfId="11" priority="4">
      <formula>$K$35&gt;70</formula>
    </cfRule>
  </conditionalFormatting>
  <conditionalFormatting sqref="R35">
    <cfRule type="expression" dxfId="10" priority="3">
      <formula>$K$35&gt;70</formula>
    </cfRule>
  </conditionalFormatting>
  <dataValidations count="13">
    <dataValidation type="list" operator="equal" allowBlank="1" showInputMessage="1" showErrorMessage="1" sqref="J9 K12:L12 K22:L22 K14:L17 K19:L20" xr:uid="{F93647D4-06E6-4716-9A34-0052B6C27BE3}">
      <formula1>"Y,N"</formula1>
    </dataValidation>
    <dataValidation type="list" operator="equal" allowBlank="1" showInputMessage="1" showErrorMessage="1" sqref="R118:R124 N118:O121 N123:O124 N102:O105 N107:O108 C53:C56" xr:uid="{DC6E05D2-8848-4370-9A84-07B9D953E600}">
      <formula1>"Y"</formula1>
    </dataValidation>
    <dataValidation type="whole" operator="greaterThanOrEqual" allowBlank="1" showInputMessage="1" showErrorMessage="1" sqref="K13:L13 I34:J34 P53:P56 G53:G57 J53:J56 M53:M57" xr:uid="{F0FAD3D2-1C4B-45B0-95C8-60110BF03B37}">
      <formula1>0</formula1>
    </dataValidation>
    <dataValidation type="list" allowBlank="1" showInputMessage="1" showErrorMessage="1" sqref="K23:L24 K26:L26" xr:uid="{5D2C50E8-A93D-45A4-8020-2C191B665E21}">
      <formula1>"Y,N,NA"</formula1>
    </dataValidation>
    <dataValidation type="decimal" operator="greaterThanOrEqual" allowBlank="1" showInputMessage="1" showErrorMessage="1" sqref="H53:H56 N53:N56" xr:uid="{AF9BEAC2-0623-4F9B-9A69-28CA76314760}">
      <formula1>0</formula1>
    </dataValidation>
    <dataValidation type="list" allowBlank="1" showInputMessage="1" showErrorMessage="1" sqref="E53:F56" xr:uid="{27716E08-80EA-4F9D-971D-D627A8C89895}">
      <formula1>"P,F"</formula1>
    </dataValidation>
    <dataValidation type="list" allowBlank="1" showInputMessage="1" showErrorMessage="1" sqref="L53:L57 R53:R57" xr:uid="{777281D2-2907-404A-850B-7282BB8C8C61}">
      <formula1>"A,U"</formula1>
    </dataValidation>
    <dataValidation type="list" allowBlank="1" showInputMessage="1" showErrorMessage="1" sqref="L35 N35 P35 R35" xr:uid="{E6E3FA57-1AF5-4759-B1A0-EBC3DE9F9FBA}">
      <formula1>"Y, N"</formula1>
    </dataValidation>
    <dataValidation type="list" operator="greaterThanOrEqual" allowBlank="1" showInputMessage="1" showErrorMessage="1" sqref="K53:K57 Q53:Q57" xr:uid="{2E3F1089-6C6D-4690-AF00-A71CFB6E681C}">
      <formula1>"400, 225, 200, 25"</formula1>
    </dataValidation>
    <dataValidation type="list" operator="equal" allowBlank="1" showInputMessage="1" showErrorMessage="1" sqref="K21:L21" xr:uid="{BCC6B7C7-D6BB-4067-8F61-797E2C051C12}">
      <formula1>"Y,N,NA"</formula1>
    </dataValidation>
    <dataValidation type="list" allowBlank="1" showInputMessage="1" showErrorMessage="1" sqref="O110" xr:uid="{E5EEBA74-D42C-4E87-99C7-6301F62FDE7D}">
      <formula1>$L$71:$L$87</formula1>
    </dataValidation>
    <dataValidation type="decimal" allowBlank="1" showInputMessage="1" showErrorMessage="1" sqref="K36:K40 M36:M40 O36:O40 Q36:Q40" xr:uid="{BE65655F-5691-41BE-9B0C-E94B4879605B}">
      <formula1>-1000</formula1>
      <formula2>1000</formula2>
    </dataValidation>
    <dataValidation type="list" operator="greaterThanOrEqual" allowBlank="1" showInputMessage="1" showErrorMessage="1" sqref="D53:D56" xr:uid="{4EBF8141-BFB8-4C64-942F-09EDC558091D}">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224D-0662-475B-9428-4EB831968560}">
  <sheetPr>
    <pageSetUpPr fitToPage="1"/>
  </sheetPr>
  <dimension ref="B1:AO110"/>
  <sheetViews>
    <sheetView zoomScale="145" zoomScaleNormal="145" workbookViewId="0">
      <selection activeCell="F7" sqref="F7:P7"/>
    </sheetView>
  </sheetViews>
  <sheetFormatPr defaultRowHeight="15" x14ac:dyDescent="0.25"/>
  <cols>
    <col min="1" max="1" width="0.85546875" customWidth="1"/>
    <col min="2" max="41" width="2.7109375" customWidth="1"/>
    <col min="42" max="42" width="0.85546875" customWidth="1"/>
  </cols>
  <sheetData>
    <row r="1" spans="2:41" ht="21.9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1" ht="18.95" customHeight="1" x14ac:dyDescent="0.35">
      <c r="B2" s="626" t="s">
        <v>1527</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1" s="2" customFormat="1" ht="15" customHeight="1" x14ac:dyDescent="0.25">
      <c r="B3" s="201" t="s">
        <v>1757</v>
      </c>
      <c r="C3" s="530"/>
      <c r="D3" s="530"/>
      <c r="E3" s="530"/>
      <c r="F3" s="536"/>
      <c r="G3" s="537" t="s">
        <v>1758</v>
      </c>
      <c r="H3" s="530"/>
      <c r="I3" s="530"/>
      <c r="J3" s="530"/>
      <c r="K3" s="530"/>
      <c r="L3" s="530"/>
      <c r="M3" s="530"/>
      <c r="N3" s="538"/>
      <c r="O3" s="537" t="s">
        <v>1759</v>
      </c>
      <c r="P3" s="530"/>
      <c r="Q3" s="530"/>
      <c r="R3" s="530"/>
      <c r="S3" s="530"/>
      <c r="T3" s="530"/>
      <c r="U3" s="539"/>
      <c r="V3" s="537" t="s">
        <v>1760</v>
      </c>
      <c r="W3" s="530"/>
      <c r="X3" s="530"/>
      <c r="Y3" s="530"/>
      <c r="Z3" s="530"/>
      <c r="AA3" s="530"/>
      <c r="AB3" s="530"/>
      <c r="AC3" s="530"/>
      <c r="AD3" s="530"/>
      <c r="AE3" s="530"/>
      <c r="AF3" s="530"/>
      <c r="AG3" s="530"/>
      <c r="AH3" s="530"/>
      <c r="AI3" s="530"/>
      <c r="AJ3" s="530"/>
      <c r="AK3" s="530"/>
      <c r="AL3" s="530"/>
      <c r="AM3" s="530"/>
      <c r="AN3" s="530"/>
      <c r="AO3" s="530"/>
    </row>
    <row r="4" spans="2:41" ht="3.6" customHeight="1" thickBot="1" x14ac:dyDescent="0.3">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row>
    <row r="5" spans="2:41" ht="16.149999999999999" customHeight="1" x14ac:dyDescent="0.25">
      <c r="B5" s="574" t="s">
        <v>1571</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6"/>
    </row>
    <row r="6" spans="2:41" ht="2.65" customHeight="1" x14ac:dyDescent="0.25">
      <c r="B6" s="627"/>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9"/>
    </row>
    <row r="7" spans="2:41" ht="16.149999999999999" customHeight="1" x14ac:dyDescent="0.25">
      <c r="B7" s="1847" t="s">
        <v>1528</v>
      </c>
      <c r="C7" s="620"/>
      <c r="D7" s="620"/>
      <c r="E7" s="620"/>
      <c r="F7" s="1841"/>
      <c r="G7" s="1841"/>
      <c r="H7" s="1841"/>
      <c r="I7" s="1841"/>
      <c r="J7" s="1841"/>
      <c r="K7" s="1841"/>
      <c r="L7" s="1841"/>
      <c r="M7" s="1841"/>
      <c r="N7" s="1841"/>
      <c r="O7" s="1841"/>
      <c r="P7" s="1841"/>
      <c r="Q7" s="620" t="s">
        <v>1529</v>
      </c>
      <c r="R7" s="620"/>
      <c r="S7" s="620"/>
      <c r="T7" s="1848"/>
      <c r="U7" s="1848"/>
      <c r="V7" s="1848"/>
      <c r="W7" s="1848"/>
      <c r="X7" s="1848"/>
      <c r="Y7" s="1848"/>
      <c r="Z7" s="620" t="s">
        <v>1525</v>
      </c>
      <c r="AA7" s="620"/>
      <c r="AB7" s="620"/>
      <c r="AC7" s="1841"/>
      <c r="AD7" s="1841"/>
      <c r="AE7" s="1841"/>
      <c r="AF7" s="1841"/>
      <c r="AG7" s="1841"/>
      <c r="AH7" s="1841"/>
      <c r="AI7" s="1841"/>
      <c r="AJ7" s="1841"/>
      <c r="AK7" s="1841"/>
      <c r="AL7" s="1841"/>
      <c r="AM7" s="1841"/>
      <c r="AN7" s="1841"/>
      <c r="AO7" s="519"/>
    </row>
    <row r="8" spans="2:41" ht="2.65" customHeight="1" thickBot="1" x14ac:dyDescent="0.3">
      <c r="B8" s="561"/>
      <c r="C8" s="562"/>
      <c r="D8" s="562"/>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3"/>
    </row>
    <row r="9" spans="2:41" ht="3.6" customHeight="1" thickBot="1" x14ac:dyDescent="0.3">
      <c r="B9" s="1842"/>
      <c r="C9" s="1842"/>
      <c r="D9" s="1842"/>
      <c r="E9" s="1842"/>
      <c r="F9" s="1842"/>
      <c r="G9" s="1842"/>
      <c r="H9" s="1842"/>
      <c r="I9" s="1842"/>
      <c r="J9" s="1842"/>
      <c r="K9" s="1842"/>
      <c r="L9" s="1842"/>
      <c r="M9" s="1842"/>
      <c r="N9" s="1842"/>
      <c r="O9" s="1842"/>
      <c r="P9" s="1842"/>
      <c r="Q9" s="1842"/>
      <c r="R9" s="1842"/>
      <c r="S9" s="1842"/>
      <c r="T9" s="1842"/>
      <c r="U9" s="1842"/>
      <c r="V9" s="1842"/>
      <c r="W9" s="1842"/>
      <c r="X9" s="1842"/>
      <c r="Y9" s="1842"/>
      <c r="Z9" s="1842"/>
      <c r="AA9" s="1842"/>
      <c r="AB9" s="1842"/>
      <c r="AC9" s="1842"/>
      <c r="AD9" s="1842"/>
      <c r="AE9" s="1842"/>
      <c r="AF9" s="1842"/>
      <c r="AG9" s="1842"/>
      <c r="AH9" s="1842"/>
      <c r="AI9" s="1842"/>
      <c r="AJ9" s="1842"/>
      <c r="AK9" s="1842"/>
      <c r="AL9" s="1842"/>
      <c r="AM9" s="1842"/>
      <c r="AN9" s="1842"/>
      <c r="AO9" s="1842"/>
    </row>
    <row r="10" spans="2:41" ht="16.149999999999999" customHeight="1" x14ac:dyDescent="0.25">
      <c r="B10" s="589" t="s">
        <v>1572</v>
      </c>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1"/>
    </row>
    <row r="11" spans="2:41" ht="16.149999999999999" customHeight="1" x14ac:dyDescent="0.25">
      <c r="B11" s="520" t="s">
        <v>1754</v>
      </c>
      <c r="C11" s="521"/>
      <c r="D11" s="521"/>
      <c r="E11" s="521"/>
      <c r="F11" s="521"/>
      <c r="G11" s="521"/>
      <c r="H11" s="521"/>
      <c r="I11" s="521"/>
      <c r="J11" s="521"/>
      <c r="K11" s="521"/>
      <c r="L11" s="1843" t="s">
        <v>1546</v>
      </c>
      <c r="M11" s="1843"/>
      <c r="N11" s="1843"/>
      <c r="O11" s="1843"/>
      <c r="P11" s="1843"/>
      <c r="Q11" s="1844"/>
      <c r="R11" s="1844"/>
      <c r="S11" s="1844"/>
      <c r="T11" s="1844"/>
      <c r="U11" s="1844"/>
      <c r="V11" s="1844"/>
      <c r="W11" s="1844"/>
      <c r="X11" s="1844"/>
      <c r="Y11" s="1844"/>
      <c r="Z11" s="1844"/>
      <c r="AA11" s="1845" t="s">
        <v>1547</v>
      </c>
      <c r="AB11" s="1845"/>
      <c r="AC11" s="1845"/>
      <c r="AD11" s="1845"/>
      <c r="AE11" s="1845"/>
      <c r="AF11" s="1845"/>
      <c r="AG11" s="1844"/>
      <c r="AH11" s="1844"/>
      <c r="AI11" s="1844"/>
      <c r="AJ11" s="1844"/>
      <c r="AK11" s="1844"/>
      <c r="AL11" s="1844"/>
      <c r="AM11" s="1844"/>
      <c r="AN11" s="1844"/>
      <c r="AO11" s="1846"/>
    </row>
    <row r="12" spans="2:41" s="397" customFormat="1" ht="27.4" customHeight="1" x14ac:dyDescent="0.2">
      <c r="B12" s="1849"/>
      <c r="C12" s="1850"/>
      <c r="D12" s="1851" t="s">
        <v>1534</v>
      </c>
      <c r="E12" s="1851"/>
      <c r="F12" s="1851"/>
      <c r="G12" s="1851"/>
      <c r="H12" s="1851"/>
      <c r="I12" s="1851"/>
      <c r="J12" s="1851"/>
      <c r="K12" s="1851"/>
      <c r="L12" s="1851"/>
      <c r="M12" s="1851"/>
      <c r="N12" s="1851"/>
      <c r="O12" s="1851"/>
      <c r="P12" s="1851"/>
      <c r="Q12" s="1852" t="s">
        <v>1531</v>
      </c>
      <c r="R12" s="1852"/>
      <c r="S12" s="1852"/>
      <c r="T12" s="1852"/>
      <c r="U12" s="1852"/>
      <c r="V12" s="1852"/>
      <c r="W12" s="1852"/>
      <c r="X12" s="1852"/>
      <c r="Y12" s="1852"/>
      <c r="Z12" s="1852"/>
      <c r="AA12" s="1853" t="s">
        <v>1532</v>
      </c>
      <c r="AB12" s="1853"/>
      <c r="AC12" s="1853"/>
      <c r="AD12" s="1853"/>
      <c r="AE12" s="1853"/>
      <c r="AF12" s="1853"/>
      <c r="AG12" s="1853"/>
      <c r="AH12" s="1853"/>
      <c r="AI12" s="1853"/>
      <c r="AJ12" s="1853"/>
      <c r="AK12" s="1853" t="s">
        <v>1533</v>
      </c>
      <c r="AL12" s="1853"/>
      <c r="AM12" s="1853"/>
      <c r="AN12" s="1853"/>
      <c r="AO12" s="1854"/>
    </row>
    <row r="13" spans="2:41" s="397" customFormat="1" ht="14.45" customHeight="1" x14ac:dyDescent="0.2">
      <c r="B13" s="1855"/>
      <c r="C13" s="1856"/>
      <c r="D13" s="1856"/>
      <c r="E13" s="1857" t="s">
        <v>1535</v>
      </c>
      <c r="F13" s="1857"/>
      <c r="G13" s="1857"/>
      <c r="H13" s="1857"/>
      <c r="I13" s="1857"/>
      <c r="J13" s="1857"/>
      <c r="K13" s="1857"/>
      <c r="L13" s="1857"/>
      <c r="M13" s="1857"/>
      <c r="N13" s="1857"/>
      <c r="O13" s="1857"/>
      <c r="P13" s="1857"/>
      <c r="Q13" s="1858"/>
      <c r="R13" s="1858"/>
      <c r="S13" s="1858"/>
      <c r="T13" s="1858"/>
      <c r="U13" s="1858"/>
      <c r="V13" s="1858"/>
      <c r="W13" s="1858"/>
      <c r="X13" s="1858"/>
      <c r="Y13" s="1858"/>
      <c r="Z13" s="1859"/>
      <c r="AA13" s="1860"/>
      <c r="AB13" s="1861"/>
      <c r="AC13" s="1861"/>
      <c r="AD13" s="1861"/>
      <c r="AE13" s="1861"/>
      <c r="AF13" s="1861"/>
      <c r="AG13" s="1861"/>
      <c r="AH13" s="1861"/>
      <c r="AI13" s="1861"/>
      <c r="AJ13" s="1862"/>
      <c r="AK13" s="1863"/>
      <c r="AL13" s="1863"/>
      <c r="AM13" s="1863"/>
      <c r="AN13" s="1863"/>
      <c r="AO13" s="1864"/>
    </row>
    <row r="14" spans="2:41" s="397" customFormat="1" ht="14.45" customHeight="1" x14ac:dyDescent="0.2">
      <c r="B14" s="1855"/>
      <c r="C14" s="1856"/>
      <c r="D14" s="1856"/>
      <c r="E14" s="1857" t="s">
        <v>1536</v>
      </c>
      <c r="F14" s="1857"/>
      <c r="G14" s="1857"/>
      <c r="H14" s="1857"/>
      <c r="I14" s="1857"/>
      <c r="J14" s="1857"/>
      <c r="K14" s="1857"/>
      <c r="L14" s="1857"/>
      <c r="M14" s="1857"/>
      <c r="N14" s="1857"/>
      <c r="O14" s="1857"/>
      <c r="P14" s="1857"/>
      <c r="Q14" s="1861"/>
      <c r="R14" s="1861"/>
      <c r="S14" s="1861"/>
      <c r="T14" s="1861"/>
      <c r="U14" s="1861"/>
      <c r="V14" s="1861"/>
      <c r="W14" s="1861"/>
      <c r="X14" s="1861"/>
      <c r="Y14" s="1861"/>
      <c r="Z14" s="1862"/>
      <c r="AA14" s="1860"/>
      <c r="AB14" s="1861"/>
      <c r="AC14" s="1861"/>
      <c r="AD14" s="1861"/>
      <c r="AE14" s="1861"/>
      <c r="AF14" s="1861"/>
      <c r="AG14" s="1861"/>
      <c r="AH14" s="1861"/>
      <c r="AI14" s="1861"/>
      <c r="AJ14" s="1862"/>
      <c r="AK14" s="1860"/>
      <c r="AL14" s="1861"/>
      <c r="AM14" s="1861"/>
      <c r="AN14" s="1861"/>
      <c r="AO14" s="1865"/>
    </row>
    <row r="15" spans="2:41" s="397" customFormat="1" ht="14.45" customHeight="1" x14ac:dyDescent="0.2">
      <c r="B15" s="1866"/>
      <c r="C15" s="1867"/>
      <c r="D15" s="1867"/>
      <c r="E15" s="1868" t="s">
        <v>1537</v>
      </c>
      <c r="F15" s="1868"/>
      <c r="G15" s="1868"/>
      <c r="H15" s="1868"/>
      <c r="I15" s="1868"/>
      <c r="J15" s="1868"/>
      <c r="K15" s="1868"/>
      <c r="L15" s="1868"/>
      <c r="M15" s="1868"/>
      <c r="N15" s="1868"/>
      <c r="O15" s="1868"/>
      <c r="P15" s="1868"/>
      <c r="Q15" s="1863"/>
      <c r="R15" s="1863"/>
      <c r="S15" s="1863"/>
      <c r="T15" s="1863"/>
      <c r="U15" s="1863"/>
      <c r="V15" s="1863"/>
      <c r="W15" s="1863"/>
      <c r="X15" s="1863"/>
      <c r="Y15" s="1863"/>
      <c r="Z15" s="1869"/>
      <c r="AA15" s="1863"/>
      <c r="AB15" s="1863"/>
      <c r="AC15" s="1863"/>
      <c r="AD15" s="1863"/>
      <c r="AE15" s="1863"/>
      <c r="AF15" s="1863"/>
      <c r="AG15" s="1863"/>
      <c r="AH15" s="1863"/>
      <c r="AI15" s="1863"/>
      <c r="AJ15" s="1869"/>
      <c r="AK15" s="1863"/>
      <c r="AL15" s="1863"/>
      <c r="AM15" s="1863"/>
      <c r="AN15" s="1863"/>
      <c r="AO15" s="1864"/>
    </row>
    <row r="16" spans="2:41" s="397" customFormat="1" ht="14.45" customHeight="1" x14ac:dyDescent="0.2">
      <c r="B16" s="1849"/>
      <c r="C16" s="1850"/>
      <c r="D16" s="1851" t="s">
        <v>1756</v>
      </c>
      <c r="E16" s="1851"/>
      <c r="F16" s="1851"/>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75"/>
    </row>
    <row r="17" spans="2:41" s="397" customFormat="1" ht="14.45" customHeight="1" x14ac:dyDescent="0.2">
      <c r="B17" s="1876"/>
      <c r="C17" s="1877"/>
      <c r="D17" s="1877"/>
      <c r="E17" s="1857" t="s">
        <v>1755</v>
      </c>
      <c r="F17" s="1857"/>
      <c r="G17" s="1857"/>
      <c r="H17" s="1857"/>
      <c r="I17" s="1857"/>
      <c r="J17" s="1857"/>
      <c r="K17" s="1857"/>
      <c r="L17" s="1857"/>
      <c r="M17" s="1857"/>
      <c r="N17" s="1857"/>
      <c r="O17" s="1857"/>
      <c r="P17" s="1857"/>
      <c r="Q17" s="1878"/>
      <c r="R17" s="1878"/>
      <c r="S17" s="1878"/>
      <c r="T17" s="1878"/>
      <c r="U17" s="1878"/>
      <c r="V17" s="1878"/>
      <c r="W17" s="1878"/>
      <c r="X17" s="1878"/>
      <c r="Y17" s="1878"/>
      <c r="Z17" s="1879"/>
      <c r="AA17" s="1880"/>
      <c r="AB17" s="1878"/>
      <c r="AC17" s="1878"/>
      <c r="AD17" s="1878"/>
      <c r="AE17" s="1878"/>
      <c r="AF17" s="1878"/>
      <c r="AG17" s="1878"/>
      <c r="AH17" s="1878"/>
      <c r="AI17" s="1878"/>
      <c r="AJ17" s="1879"/>
      <c r="AK17" s="1880"/>
      <c r="AL17" s="1878"/>
      <c r="AM17" s="1878"/>
      <c r="AN17" s="1878"/>
      <c r="AO17" s="1881"/>
    </row>
    <row r="18" spans="2:41" s="397" customFormat="1" ht="14.45" customHeight="1" x14ac:dyDescent="0.2">
      <c r="B18" s="1870"/>
      <c r="C18" s="1871"/>
      <c r="D18" s="1871"/>
      <c r="E18" s="1868" t="s">
        <v>1538</v>
      </c>
      <c r="F18" s="1868"/>
      <c r="G18" s="1868"/>
      <c r="H18" s="1868"/>
      <c r="I18" s="1868"/>
      <c r="J18" s="1868"/>
      <c r="K18" s="1868"/>
      <c r="L18" s="1868"/>
      <c r="M18" s="1868"/>
      <c r="N18" s="1868"/>
      <c r="O18" s="1868"/>
      <c r="P18" s="1868"/>
      <c r="Q18" s="1872"/>
      <c r="R18" s="1872"/>
      <c r="S18" s="1872"/>
      <c r="T18" s="1872"/>
      <c r="U18" s="1872"/>
      <c r="V18" s="1872"/>
      <c r="W18" s="1872"/>
      <c r="X18" s="1872"/>
      <c r="Y18" s="1872"/>
      <c r="Z18" s="1873"/>
      <c r="AA18" s="1872"/>
      <c r="AB18" s="1872"/>
      <c r="AC18" s="1872"/>
      <c r="AD18" s="1872"/>
      <c r="AE18" s="1872"/>
      <c r="AF18" s="1872"/>
      <c r="AG18" s="1872"/>
      <c r="AH18" s="1872"/>
      <c r="AI18" s="1872"/>
      <c r="AJ18" s="1873"/>
      <c r="AK18" s="1872"/>
      <c r="AL18" s="1872"/>
      <c r="AM18" s="1872"/>
      <c r="AN18" s="1872"/>
      <c r="AO18" s="1874"/>
    </row>
    <row r="19" spans="2:41" s="397" customFormat="1" ht="14.45" customHeight="1" x14ac:dyDescent="0.2">
      <c r="B19" s="1849"/>
      <c r="C19" s="1850"/>
      <c r="D19" s="1851" t="s">
        <v>1539</v>
      </c>
      <c r="E19" s="1851"/>
      <c r="F19" s="1851"/>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75"/>
    </row>
    <row r="20" spans="2:41" s="397" customFormat="1" ht="14.45" customHeight="1" x14ac:dyDescent="0.2">
      <c r="B20" s="1855"/>
      <c r="C20" s="1856"/>
      <c r="D20" s="1856"/>
      <c r="E20" s="1857" t="s">
        <v>1541</v>
      </c>
      <c r="F20" s="1857"/>
      <c r="G20" s="1857"/>
      <c r="H20" s="1857"/>
      <c r="I20" s="1857"/>
      <c r="J20" s="1857"/>
      <c r="K20" s="1857"/>
      <c r="L20" s="1857"/>
      <c r="M20" s="1857"/>
      <c r="N20" s="1857"/>
      <c r="O20" s="1857"/>
      <c r="P20" s="1857"/>
      <c r="Q20" s="1878"/>
      <c r="R20" s="1878"/>
      <c r="S20" s="1878"/>
      <c r="T20" s="1878"/>
      <c r="U20" s="1878"/>
      <c r="V20" s="1878"/>
      <c r="W20" s="1878"/>
      <c r="X20" s="1878"/>
      <c r="Y20" s="1878"/>
      <c r="Z20" s="1879"/>
      <c r="AA20" s="1880"/>
      <c r="AB20" s="1878"/>
      <c r="AC20" s="1878"/>
      <c r="AD20" s="1878"/>
      <c r="AE20" s="1878"/>
      <c r="AF20" s="1878"/>
      <c r="AG20" s="1878"/>
      <c r="AH20" s="1878"/>
      <c r="AI20" s="1878"/>
      <c r="AJ20" s="1879"/>
      <c r="AK20" s="1880"/>
      <c r="AL20" s="1878"/>
      <c r="AM20" s="1878"/>
      <c r="AN20" s="1878"/>
      <c r="AO20" s="1881"/>
    </row>
    <row r="21" spans="2:41" s="397" customFormat="1" ht="14.45" customHeight="1" x14ac:dyDescent="0.2">
      <c r="B21" s="1866"/>
      <c r="C21" s="1867"/>
      <c r="D21" s="1867"/>
      <c r="E21" s="1868" t="s">
        <v>1542</v>
      </c>
      <c r="F21" s="1868"/>
      <c r="G21" s="1868"/>
      <c r="H21" s="1868"/>
      <c r="I21" s="1868"/>
      <c r="J21" s="1868"/>
      <c r="K21" s="1868"/>
      <c r="L21" s="1868"/>
      <c r="M21" s="1868"/>
      <c r="N21" s="1868"/>
      <c r="O21" s="1868"/>
      <c r="P21" s="1868"/>
      <c r="Q21" s="1872"/>
      <c r="R21" s="1872"/>
      <c r="S21" s="1872"/>
      <c r="T21" s="1872"/>
      <c r="U21" s="1872"/>
      <c r="V21" s="1872"/>
      <c r="W21" s="1872"/>
      <c r="X21" s="1872"/>
      <c r="Y21" s="1872"/>
      <c r="Z21" s="1873"/>
      <c r="AA21" s="1872"/>
      <c r="AB21" s="1872"/>
      <c r="AC21" s="1872"/>
      <c r="AD21" s="1872"/>
      <c r="AE21" s="1872"/>
      <c r="AF21" s="1872"/>
      <c r="AG21" s="1872"/>
      <c r="AH21" s="1872"/>
      <c r="AI21" s="1872"/>
      <c r="AJ21" s="1873"/>
      <c r="AK21" s="1872"/>
      <c r="AL21" s="1872"/>
      <c r="AM21" s="1872"/>
      <c r="AN21" s="1872"/>
      <c r="AO21" s="1874"/>
    </row>
    <row r="22" spans="2:41" ht="16.149999999999999" customHeight="1" x14ac:dyDescent="0.25">
      <c r="B22" s="1882" t="s">
        <v>1614</v>
      </c>
      <c r="C22" s="1883"/>
      <c r="D22" s="1883"/>
      <c r="E22" s="1883"/>
      <c r="F22" s="1883"/>
      <c r="G22" s="1883"/>
      <c r="H22" s="1883"/>
      <c r="I22" s="1883"/>
      <c r="J22" s="1883"/>
      <c r="K22" s="1883"/>
      <c r="L22" s="1883"/>
      <c r="M22" s="1883"/>
      <c r="N22" s="1883"/>
      <c r="O22" s="1883"/>
      <c r="P22" s="1883"/>
      <c r="Q22" s="1884" t="s">
        <v>96</v>
      </c>
      <c r="R22" s="1884"/>
      <c r="S22" s="1884"/>
      <c r="T22" s="1884"/>
      <c r="U22" s="1884"/>
      <c r="V22" s="1884"/>
      <c r="W22" s="1884"/>
      <c r="X22" s="1884"/>
      <c r="Y22" s="1884"/>
      <c r="Z22" s="1884"/>
      <c r="AA22" s="1884" t="s">
        <v>1530</v>
      </c>
      <c r="AB22" s="1884"/>
      <c r="AC22" s="1884"/>
      <c r="AD22" s="1884"/>
      <c r="AE22" s="1884"/>
      <c r="AF22" s="1884"/>
      <c r="AG22" s="1884"/>
      <c r="AH22" s="1884"/>
      <c r="AI22" s="1884"/>
      <c r="AJ22" s="1884"/>
      <c r="AK22" s="1884"/>
      <c r="AL22" s="1884"/>
      <c r="AM22" s="1884"/>
      <c r="AN22" s="1884"/>
      <c r="AO22" s="1885"/>
    </row>
    <row r="23" spans="2:41" ht="16.149999999999999" customHeight="1" x14ac:dyDescent="0.25">
      <c r="B23" s="540"/>
      <c r="C23" s="1886" t="s">
        <v>1543</v>
      </c>
      <c r="D23" s="1886"/>
      <c r="E23" s="1886"/>
      <c r="F23" s="1886"/>
      <c r="G23" s="1886"/>
      <c r="H23" s="1886"/>
      <c r="I23" s="1886"/>
      <c r="J23" s="1886"/>
      <c r="K23" s="1886"/>
      <c r="L23" s="1886"/>
      <c r="M23" s="1886"/>
      <c r="N23" s="1886"/>
      <c r="O23" s="1886"/>
      <c r="P23" s="1886"/>
      <c r="Q23" s="1890"/>
      <c r="R23" s="1890"/>
      <c r="S23" s="1890"/>
      <c r="T23" s="1890"/>
      <c r="U23" s="1890"/>
      <c r="V23" s="1887"/>
      <c r="W23" s="1887"/>
      <c r="X23" s="1887"/>
      <c r="Y23" s="1887"/>
      <c r="Z23" s="1891"/>
      <c r="AA23" s="1889"/>
      <c r="AB23" s="1890"/>
      <c r="AC23" s="1890"/>
      <c r="AD23" s="1890"/>
      <c r="AE23" s="1890"/>
      <c r="AF23" s="1890"/>
      <c r="AG23" s="1890"/>
      <c r="AH23" s="1887"/>
      <c r="AI23" s="1887"/>
      <c r="AJ23" s="1887"/>
      <c r="AK23" s="1887"/>
      <c r="AL23" s="1887"/>
      <c r="AM23" s="1887"/>
      <c r="AN23" s="1887"/>
      <c r="AO23" s="1888"/>
    </row>
    <row r="24" spans="2:41" ht="16.149999999999999" customHeight="1" x14ac:dyDescent="0.25">
      <c r="B24" s="540"/>
      <c r="C24" s="1886" t="s">
        <v>1544</v>
      </c>
      <c r="D24" s="1886"/>
      <c r="E24" s="1886"/>
      <c r="F24" s="1886"/>
      <c r="G24" s="1886"/>
      <c r="H24" s="1886"/>
      <c r="I24" s="1886"/>
      <c r="J24" s="1886"/>
      <c r="K24" s="1886"/>
      <c r="L24" s="1886"/>
      <c r="M24" s="1886"/>
      <c r="N24" s="1886"/>
      <c r="O24" s="1886"/>
      <c r="P24" s="1886"/>
      <c r="Q24" s="1890"/>
      <c r="R24" s="1890"/>
      <c r="S24" s="1890"/>
      <c r="T24" s="1890"/>
      <c r="U24" s="1890"/>
      <c r="V24" s="1887"/>
      <c r="W24" s="1887"/>
      <c r="X24" s="1887"/>
      <c r="Y24" s="1887"/>
      <c r="Z24" s="1891"/>
      <c r="AA24" s="1889"/>
      <c r="AB24" s="1890"/>
      <c r="AC24" s="1890"/>
      <c r="AD24" s="1890"/>
      <c r="AE24" s="1890"/>
      <c r="AF24" s="1890"/>
      <c r="AG24" s="1890"/>
      <c r="AH24" s="1887"/>
      <c r="AI24" s="1887"/>
      <c r="AJ24" s="1887"/>
      <c r="AK24" s="1887"/>
      <c r="AL24" s="1887"/>
      <c r="AM24" s="1887"/>
      <c r="AN24" s="1887"/>
      <c r="AO24" s="1888"/>
    </row>
    <row r="25" spans="2:41" ht="16.149999999999999" customHeight="1" x14ac:dyDescent="0.25">
      <c r="B25" s="540"/>
      <c r="C25" s="1886" t="s">
        <v>1545</v>
      </c>
      <c r="D25" s="1886"/>
      <c r="E25" s="1886"/>
      <c r="F25" s="1886"/>
      <c r="G25" s="1886"/>
      <c r="H25" s="1886"/>
      <c r="I25" s="1886"/>
      <c r="J25" s="1886"/>
      <c r="K25" s="1886"/>
      <c r="L25" s="1886"/>
      <c r="M25" s="1886"/>
      <c r="N25" s="1886"/>
      <c r="O25" s="1886"/>
      <c r="P25" s="1886"/>
      <c r="Q25" s="1890"/>
      <c r="R25" s="1890"/>
      <c r="S25" s="1890"/>
      <c r="T25" s="1890"/>
      <c r="U25" s="1890"/>
      <c r="V25" s="1887"/>
      <c r="W25" s="1887"/>
      <c r="X25" s="1887"/>
      <c r="Y25" s="1887"/>
      <c r="Z25" s="1891"/>
      <c r="AA25" s="1889"/>
      <c r="AB25" s="1890"/>
      <c r="AC25" s="1890"/>
      <c r="AD25" s="1890"/>
      <c r="AE25" s="1890"/>
      <c r="AF25" s="1890"/>
      <c r="AG25" s="1890"/>
      <c r="AH25" s="1887"/>
      <c r="AI25" s="1887"/>
      <c r="AJ25" s="1887"/>
      <c r="AK25" s="1887"/>
      <c r="AL25" s="1887"/>
      <c r="AM25" s="1887"/>
      <c r="AN25" s="1887"/>
      <c r="AO25" s="1888"/>
    </row>
    <row r="26" spans="2:41" ht="16.149999999999999" customHeight="1" x14ac:dyDescent="0.25">
      <c r="B26" s="485"/>
      <c r="C26" s="1892" t="s">
        <v>1567</v>
      </c>
      <c r="D26" s="1892"/>
      <c r="E26" s="1892"/>
      <c r="F26" s="1892"/>
      <c r="G26" s="1892"/>
      <c r="H26" s="1892"/>
      <c r="I26" s="1892"/>
      <c r="J26" s="1892"/>
      <c r="K26" s="1892"/>
      <c r="L26" s="1892"/>
      <c r="M26" s="1892"/>
      <c r="N26" s="1892"/>
      <c r="O26" s="1892"/>
      <c r="P26" s="1892"/>
      <c r="Q26" s="1887"/>
      <c r="R26" s="1887"/>
      <c r="S26" s="1887"/>
      <c r="T26" s="1887"/>
      <c r="U26" s="1887"/>
      <c r="V26" s="1887"/>
      <c r="W26" s="1887"/>
      <c r="X26" s="1887"/>
      <c r="Y26" s="1887"/>
      <c r="Z26" s="1891"/>
      <c r="AA26" s="1893"/>
      <c r="AB26" s="1887"/>
      <c r="AC26" s="1887"/>
      <c r="AD26" s="1887"/>
      <c r="AE26" s="1887"/>
      <c r="AF26" s="1887"/>
      <c r="AG26" s="1887"/>
      <c r="AH26" s="1887"/>
      <c r="AI26" s="1887"/>
      <c r="AJ26" s="1887"/>
      <c r="AK26" s="1887"/>
      <c r="AL26" s="1887"/>
      <c r="AM26" s="1887"/>
      <c r="AN26" s="1887"/>
      <c r="AO26" s="1888"/>
    </row>
    <row r="27" spans="2:41" s="397" customFormat="1" ht="27.4" customHeight="1" x14ac:dyDescent="0.2">
      <c r="B27" s="1894"/>
      <c r="C27" s="1895"/>
      <c r="D27" s="1851" t="s">
        <v>1543</v>
      </c>
      <c r="E27" s="1851"/>
      <c r="F27" s="1851"/>
      <c r="G27" s="1851"/>
      <c r="H27" s="1851"/>
      <c r="I27" s="1851"/>
      <c r="J27" s="1851"/>
      <c r="K27" s="1851"/>
      <c r="L27" s="1851"/>
      <c r="M27" s="1851"/>
      <c r="N27" s="1851"/>
      <c r="O27" s="1851"/>
      <c r="P27" s="1851"/>
      <c r="Q27" s="1852" t="s">
        <v>1531</v>
      </c>
      <c r="R27" s="1852"/>
      <c r="S27" s="1852"/>
      <c r="T27" s="1852"/>
      <c r="U27" s="1852"/>
      <c r="V27" s="1852"/>
      <c r="W27" s="1852"/>
      <c r="X27" s="1852"/>
      <c r="Y27" s="1852"/>
      <c r="Z27" s="1852"/>
      <c r="AA27" s="1853" t="s">
        <v>1532</v>
      </c>
      <c r="AB27" s="1853"/>
      <c r="AC27" s="1853"/>
      <c r="AD27" s="1853"/>
      <c r="AE27" s="1853"/>
      <c r="AF27" s="1853"/>
      <c r="AG27" s="1853"/>
      <c r="AH27" s="1853"/>
      <c r="AI27" s="1853"/>
      <c r="AJ27" s="1853"/>
      <c r="AK27" s="1853" t="s">
        <v>1533</v>
      </c>
      <c r="AL27" s="1853"/>
      <c r="AM27" s="1853"/>
      <c r="AN27" s="1853"/>
      <c r="AO27" s="1854"/>
    </row>
    <row r="28" spans="2:41" s="397" customFormat="1" ht="14.45" customHeight="1" x14ac:dyDescent="0.2">
      <c r="B28" s="533"/>
      <c r="C28" s="1898"/>
      <c r="D28" s="1898"/>
      <c r="E28" s="1857" t="s">
        <v>1548</v>
      </c>
      <c r="F28" s="1857"/>
      <c r="G28" s="1857"/>
      <c r="H28" s="1857"/>
      <c r="I28" s="1857"/>
      <c r="J28" s="1857"/>
      <c r="K28" s="1857"/>
      <c r="L28" s="1857"/>
      <c r="M28" s="1857"/>
      <c r="N28" s="1857"/>
      <c r="O28" s="1857"/>
      <c r="P28" s="1857"/>
      <c r="Q28" s="1878"/>
      <c r="R28" s="1878"/>
      <c r="S28" s="1878"/>
      <c r="T28" s="1878"/>
      <c r="U28" s="1878"/>
      <c r="V28" s="1878"/>
      <c r="W28" s="1878"/>
      <c r="X28" s="1878"/>
      <c r="Y28" s="1878"/>
      <c r="Z28" s="1879"/>
      <c r="AA28" s="1880"/>
      <c r="AB28" s="1878"/>
      <c r="AC28" s="1878"/>
      <c r="AD28" s="1878"/>
      <c r="AE28" s="1878"/>
      <c r="AF28" s="1878"/>
      <c r="AG28" s="1878"/>
      <c r="AH28" s="1878"/>
      <c r="AI28" s="1878"/>
      <c r="AJ28" s="1879"/>
      <c r="AK28" s="1880"/>
      <c r="AL28" s="1878"/>
      <c r="AM28" s="1878"/>
      <c r="AN28" s="1878"/>
      <c r="AO28" s="1881"/>
    </row>
    <row r="29" spans="2:41" s="397" customFormat="1" ht="14.45" customHeight="1" x14ac:dyDescent="0.2">
      <c r="B29" s="533"/>
      <c r="C29" s="1898"/>
      <c r="D29" s="1898"/>
      <c r="E29" s="1857" t="s">
        <v>1549</v>
      </c>
      <c r="F29" s="1857"/>
      <c r="G29" s="1857"/>
      <c r="H29" s="1857"/>
      <c r="I29" s="1857"/>
      <c r="J29" s="1857"/>
      <c r="K29" s="1857"/>
      <c r="L29" s="1857"/>
      <c r="M29" s="1857"/>
      <c r="N29" s="1857"/>
      <c r="O29" s="1857"/>
      <c r="P29" s="1857"/>
      <c r="Q29" s="1896"/>
      <c r="R29" s="1896"/>
      <c r="S29" s="1896"/>
      <c r="T29" s="1896"/>
      <c r="U29" s="1896"/>
      <c r="V29" s="1896"/>
      <c r="W29" s="1896"/>
      <c r="X29" s="1896"/>
      <c r="Y29" s="1896"/>
      <c r="Z29" s="1897"/>
      <c r="AA29" s="1872"/>
      <c r="AB29" s="1872"/>
      <c r="AC29" s="1872"/>
      <c r="AD29" s="1872"/>
      <c r="AE29" s="1872"/>
      <c r="AF29" s="1872"/>
      <c r="AG29" s="1872"/>
      <c r="AH29" s="1872"/>
      <c r="AI29" s="1872"/>
      <c r="AJ29" s="1873"/>
      <c r="AK29" s="1872"/>
      <c r="AL29" s="1872"/>
      <c r="AM29" s="1872"/>
      <c r="AN29" s="1872"/>
      <c r="AO29" s="1874"/>
    </row>
    <row r="30" spans="2:41" s="397" customFormat="1" ht="14.45" customHeight="1" x14ac:dyDescent="0.2">
      <c r="B30" s="533"/>
      <c r="C30" s="1898"/>
      <c r="D30" s="1898"/>
      <c r="E30" s="1857" t="s">
        <v>1550</v>
      </c>
      <c r="F30" s="1857"/>
      <c r="G30" s="1857"/>
      <c r="H30" s="1857"/>
      <c r="I30" s="1857"/>
      <c r="J30" s="1857"/>
      <c r="K30" s="1857"/>
      <c r="L30" s="1857"/>
      <c r="M30" s="1857"/>
      <c r="N30" s="1857"/>
      <c r="O30" s="1857"/>
      <c r="P30" s="1857"/>
      <c r="Q30" s="1896"/>
      <c r="R30" s="1896"/>
      <c r="S30" s="1896"/>
      <c r="T30" s="1896"/>
      <c r="U30" s="1896"/>
      <c r="V30" s="1896"/>
      <c r="W30" s="1896"/>
      <c r="X30" s="1896"/>
      <c r="Y30" s="1896"/>
      <c r="Z30" s="1897"/>
      <c r="AA30" s="1899"/>
      <c r="AB30" s="1896"/>
      <c r="AC30" s="1896"/>
      <c r="AD30" s="1896"/>
      <c r="AE30" s="1896"/>
      <c r="AF30" s="1896"/>
      <c r="AG30" s="1896"/>
      <c r="AH30" s="1896"/>
      <c r="AI30" s="1896"/>
      <c r="AJ30" s="1897"/>
      <c r="AK30" s="1900"/>
      <c r="AL30" s="1901"/>
      <c r="AM30" s="1901"/>
      <c r="AN30" s="1901"/>
      <c r="AO30" s="1902"/>
    </row>
    <row r="31" spans="2:41" s="397" customFormat="1" ht="14.45" customHeight="1" x14ac:dyDescent="0.2">
      <c r="B31" s="532"/>
      <c r="C31" s="1898"/>
      <c r="D31" s="1898"/>
      <c r="E31" s="1868" t="s">
        <v>1551</v>
      </c>
      <c r="F31" s="1868"/>
      <c r="G31" s="1868"/>
      <c r="H31" s="1868"/>
      <c r="I31" s="1868"/>
      <c r="J31" s="1868"/>
      <c r="K31" s="1868"/>
      <c r="L31" s="1868"/>
      <c r="M31" s="1868"/>
      <c r="N31" s="1868"/>
      <c r="O31" s="1868"/>
      <c r="P31" s="1868"/>
      <c r="Q31" s="1872"/>
      <c r="R31" s="1872"/>
      <c r="S31" s="1872"/>
      <c r="T31" s="1872"/>
      <c r="U31" s="1872"/>
      <c r="V31" s="1872"/>
      <c r="W31" s="1872"/>
      <c r="X31" s="1872"/>
      <c r="Y31" s="1872"/>
      <c r="Z31" s="1873"/>
      <c r="AA31" s="1872"/>
      <c r="AB31" s="1872"/>
      <c r="AC31" s="1872"/>
      <c r="AD31" s="1872"/>
      <c r="AE31" s="1872"/>
      <c r="AF31" s="1872"/>
      <c r="AG31" s="1872"/>
      <c r="AH31" s="1872"/>
      <c r="AI31" s="1872"/>
      <c r="AJ31" s="1873"/>
      <c r="AK31" s="1900"/>
      <c r="AL31" s="1901"/>
      <c r="AM31" s="1901"/>
      <c r="AN31" s="1901"/>
      <c r="AO31" s="1902"/>
    </row>
    <row r="32" spans="2:41" s="397" customFormat="1" ht="14.45" customHeight="1" x14ac:dyDescent="0.2">
      <c r="B32" s="1894"/>
      <c r="C32" s="1895"/>
      <c r="D32" s="1851" t="s">
        <v>1568</v>
      </c>
      <c r="E32" s="1851"/>
      <c r="F32" s="1851"/>
      <c r="G32" s="1851"/>
      <c r="H32" s="1851"/>
      <c r="I32" s="1851"/>
      <c r="J32" s="1851"/>
      <c r="K32" s="1851"/>
      <c r="L32" s="1851"/>
      <c r="M32" s="1851"/>
      <c r="N32" s="1851"/>
      <c r="O32" s="1851"/>
      <c r="P32" s="1851"/>
      <c r="Q32" s="1851"/>
      <c r="R32" s="1851"/>
      <c r="S32" s="1851"/>
      <c r="T32" s="1851"/>
      <c r="U32" s="1851"/>
      <c r="V32" s="1851"/>
      <c r="W32" s="1851"/>
      <c r="X32" s="1851"/>
      <c r="Y32" s="1851"/>
      <c r="Z32" s="1851"/>
      <c r="AA32" s="1851"/>
      <c r="AB32" s="1851"/>
      <c r="AC32" s="1851"/>
      <c r="AD32" s="1851"/>
      <c r="AE32" s="1851"/>
      <c r="AF32" s="1851"/>
      <c r="AG32" s="1851"/>
      <c r="AH32" s="1851"/>
      <c r="AI32" s="1851"/>
      <c r="AJ32" s="1851"/>
      <c r="AK32" s="1851"/>
      <c r="AL32" s="1851"/>
      <c r="AM32" s="1851"/>
      <c r="AN32" s="1851"/>
      <c r="AO32" s="1875"/>
    </row>
    <row r="33" spans="2:41" s="397" customFormat="1" ht="14.45" customHeight="1" x14ac:dyDescent="0.2">
      <c r="B33" s="533"/>
      <c r="C33" s="1898"/>
      <c r="D33" s="1898"/>
      <c r="E33" s="1857" t="s">
        <v>1552</v>
      </c>
      <c r="F33" s="1857"/>
      <c r="G33" s="1857"/>
      <c r="H33" s="1857"/>
      <c r="I33" s="1857"/>
      <c r="J33" s="1857"/>
      <c r="K33" s="1857"/>
      <c r="L33" s="1857"/>
      <c r="M33" s="1857"/>
      <c r="N33" s="1857"/>
      <c r="O33" s="1857"/>
      <c r="P33" s="1857"/>
      <c r="Q33" s="1872"/>
      <c r="R33" s="1872"/>
      <c r="S33" s="1872"/>
      <c r="T33" s="1872"/>
      <c r="U33" s="1872"/>
      <c r="V33" s="1872"/>
      <c r="W33" s="1872"/>
      <c r="X33" s="1872"/>
      <c r="Y33" s="1872"/>
      <c r="Z33" s="1873"/>
      <c r="AA33" s="1880"/>
      <c r="AB33" s="1878"/>
      <c r="AC33" s="1878"/>
      <c r="AD33" s="1878"/>
      <c r="AE33" s="1878"/>
      <c r="AF33" s="1878"/>
      <c r="AG33" s="1878"/>
      <c r="AH33" s="1878"/>
      <c r="AI33" s="1878"/>
      <c r="AJ33" s="1879"/>
      <c r="AK33" s="1880"/>
      <c r="AL33" s="1878"/>
      <c r="AM33" s="1878"/>
      <c r="AN33" s="1878"/>
      <c r="AO33" s="1881"/>
    </row>
    <row r="34" spans="2:41" s="397" customFormat="1" ht="14.45" customHeight="1" x14ac:dyDescent="0.2">
      <c r="B34" s="532"/>
      <c r="C34" s="1898"/>
      <c r="D34" s="1898"/>
      <c r="E34" s="1868" t="s">
        <v>1553</v>
      </c>
      <c r="F34" s="1868"/>
      <c r="G34" s="1868"/>
      <c r="H34" s="1868"/>
      <c r="I34" s="1868"/>
      <c r="J34" s="1868"/>
      <c r="K34" s="1868"/>
      <c r="L34" s="1868"/>
      <c r="M34" s="1868"/>
      <c r="N34" s="1868"/>
      <c r="O34" s="1868"/>
      <c r="P34" s="1868"/>
      <c r="Q34" s="1901"/>
      <c r="R34" s="1901"/>
      <c r="S34" s="1901"/>
      <c r="T34" s="1901"/>
      <c r="U34" s="1901"/>
      <c r="V34" s="1901"/>
      <c r="W34" s="1901"/>
      <c r="X34" s="1901"/>
      <c r="Y34" s="1901"/>
      <c r="Z34" s="1903"/>
      <c r="AA34" s="1872"/>
      <c r="AB34" s="1872"/>
      <c r="AC34" s="1872"/>
      <c r="AD34" s="1872"/>
      <c r="AE34" s="1872"/>
      <c r="AF34" s="1872"/>
      <c r="AG34" s="1872"/>
      <c r="AH34" s="1872"/>
      <c r="AI34" s="1872"/>
      <c r="AJ34" s="1873"/>
      <c r="AK34" s="1872"/>
      <c r="AL34" s="1872"/>
      <c r="AM34" s="1872"/>
      <c r="AN34" s="1872"/>
      <c r="AO34" s="1874"/>
    </row>
    <row r="35" spans="2:41" s="397" customFormat="1" ht="14.45" customHeight="1" x14ac:dyDescent="0.2">
      <c r="B35" s="1894"/>
      <c r="C35" s="1895"/>
      <c r="D35" s="1851" t="s">
        <v>1558</v>
      </c>
      <c r="E35" s="1851"/>
      <c r="F35" s="1851"/>
      <c r="G35" s="1851"/>
      <c r="H35" s="1851"/>
      <c r="I35" s="1851"/>
      <c r="J35" s="1851"/>
      <c r="K35" s="1851"/>
      <c r="L35" s="1851"/>
      <c r="M35" s="1851"/>
      <c r="N35" s="1851"/>
      <c r="O35" s="1851"/>
      <c r="P35" s="1851"/>
      <c r="Q35" s="1851"/>
      <c r="R35" s="1851"/>
      <c r="S35" s="1851"/>
      <c r="T35" s="1851"/>
      <c r="U35" s="1851"/>
      <c r="V35" s="1851"/>
      <c r="W35" s="1851"/>
      <c r="X35" s="1851"/>
      <c r="Y35" s="1851"/>
      <c r="Z35" s="1851"/>
      <c r="AA35" s="1851"/>
      <c r="AB35" s="1851"/>
      <c r="AC35" s="1851"/>
      <c r="AD35" s="1851"/>
      <c r="AE35" s="1851"/>
      <c r="AF35" s="1851"/>
      <c r="AG35" s="1851"/>
      <c r="AH35" s="1851"/>
      <c r="AI35" s="1851"/>
      <c r="AJ35" s="1851"/>
      <c r="AK35" s="1851"/>
      <c r="AL35" s="1851"/>
      <c r="AM35" s="1851"/>
      <c r="AN35" s="1851"/>
      <c r="AO35" s="1875"/>
    </row>
    <row r="36" spans="2:41" s="397" customFormat="1" ht="14.45" customHeight="1" x14ac:dyDescent="0.2">
      <c r="B36" s="533"/>
      <c r="C36" s="1898"/>
      <c r="D36" s="1898"/>
      <c r="E36" s="1857" t="s">
        <v>1554</v>
      </c>
      <c r="F36" s="1857"/>
      <c r="G36" s="1857"/>
      <c r="H36" s="1857"/>
      <c r="I36" s="1857"/>
      <c r="J36" s="1857"/>
      <c r="K36" s="1857"/>
      <c r="L36" s="1857"/>
      <c r="M36" s="1857"/>
      <c r="N36" s="1857"/>
      <c r="O36" s="1857"/>
      <c r="P36" s="1857"/>
      <c r="Q36" s="1878"/>
      <c r="R36" s="1878"/>
      <c r="S36" s="1878"/>
      <c r="T36" s="1878"/>
      <c r="U36" s="1878"/>
      <c r="V36" s="1878"/>
      <c r="W36" s="1878"/>
      <c r="X36" s="1878"/>
      <c r="Y36" s="1878"/>
      <c r="Z36" s="1879"/>
      <c r="AA36" s="1880"/>
      <c r="AB36" s="1878"/>
      <c r="AC36" s="1878"/>
      <c r="AD36" s="1878"/>
      <c r="AE36" s="1878"/>
      <c r="AF36" s="1878"/>
      <c r="AG36" s="1878"/>
      <c r="AH36" s="1878"/>
      <c r="AI36" s="1878"/>
      <c r="AJ36" s="1879"/>
      <c r="AK36" s="1880"/>
      <c r="AL36" s="1878"/>
      <c r="AM36" s="1878"/>
      <c r="AN36" s="1878"/>
      <c r="AO36" s="1881"/>
    </row>
    <row r="37" spans="2:41" s="397" customFormat="1" ht="14.45" customHeight="1" x14ac:dyDescent="0.2">
      <c r="B37" s="533"/>
      <c r="C37" s="1904"/>
      <c r="D37" s="1904"/>
      <c r="E37" s="1857" t="s">
        <v>1555</v>
      </c>
      <c r="F37" s="1857"/>
      <c r="G37" s="1857"/>
      <c r="H37" s="1857"/>
      <c r="I37" s="1857"/>
      <c r="J37" s="1857"/>
      <c r="K37" s="1857"/>
      <c r="L37" s="1857"/>
      <c r="M37" s="1857"/>
      <c r="N37" s="1857"/>
      <c r="O37" s="1857"/>
      <c r="P37" s="1857"/>
      <c r="Q37" s="1896"/>
      <c r="R37" s="1896"/>
      <c r="S37" s="1896"/>
      <c r="T37" s="1896"/>
      <c r="U37" s="1896"/>
      <c r="V37" s="1896"/>
      <c r="W37" s="1896"/>
      <c r="X37" s="1896"/>
      <c r="Y37" s="1896"/>
      <c r="Z37" s="1897"/>
      <c r="AA37" s="1899"/>
      <c r="AB37" s="1896"/>
      <c r="AC37" s="1896"/>
      <c r="AD37" s="1896"/>
      <c r="AE37" s="1896"/>
      <c r="AF37" s="1896"/>
      <c r="AG37" s="1896"/>
      <c r="AH37" s="1896"/>
      <c r="AI37" s="1896"/>
      <c r="AJ37" s="1897"/>
      <c r="AK37" s="1872"/>
      <c r="AL37" s="1872"/>
      <c r="AM37" s="1872"/>
      <c r="AN37" s="1872"/>
      <c r="AO37" s="1874"/>
    </row>
    <row r="38" spans="2:41" s="397" customFormat="1" ht="14.45" customHeight="1" x14ac:dyDescent="0.2">
      <c r="B38" s="534"/>
      <c r="C38" s="1908"/>
      <c r="D38" s="1908"/>
      <c r="E38" s="1857" t="s">
        <v>1556</v>
      </c>
      <c r="F38" s="1857"/>
      <c r="G38" s="1857"/>
      <c r="H38" s="1857"/>
      <c r="I38" s="1857"/>
      <c r="J38" s="1857"/>
      <c r="K38" s="1857"/>
      <c r="L38" s="1857"/>
      <c r="M38" s="1857"/>
      <c r="N38" s="1857"/>
      <c r="O38" s="1857"/>
      <c r="P38" s="1857"/>
      <c r="Q38" s="1896"/>
      <c r="R38" s="1896"/>
      <c r="S38" s="1896"/>
      <c r="T38" s="1896"/>
      <c r="U38" s="1896"/>
      <c r="V38" s="1896"/>
      <c r="W38" s="1896"/>
      <c r="X38" s="1896"/>
      <c r="Y38" s="1896"/>
      <c r="Z38" s="1897"/>
      <c r="AA38" s="1872"/>
      <c r="AB38" s="1872"/>
      <c r="AC38" s="1872"/>
      <c r="AD38" s="1872"/>
      <c r="AE38" s="1872"/>
      <c r="AF38" s="1872"/>
      <c r="AG38" s="1872"/>
      <c r="AH38" s="1872"/>
      <c r="AI38" s="1872"/>
      <c r="AJ38" s="1873"/>
      <c r="AK38" s="1899"/>
      <c r="AL38" s="1896"/>
      <c r="AM38" s="1896"/>
      <c r="AN38" s="1896"/>
      <c r="AO38" s="1907"/>
    </row>
    <row r="39" spans="2:41" s="397" customFormat="1" ht="14.45" customHeight="1" x14ac:dyDescent="0.2">
      <c r="B39" s="531"/>
      <c r="C39" s="1909"/>
      <c r="D39" s="1909"/>
      <c r="E39" s="1868" t="s">
        <v>1557</v>
      </c>
      <c r="F39" s="1868"/>
      <c r="G39" s="1868"/>
      <c r="H39" s="1868"/>
      <c r="I39" s="1868"/>
      <c r="J39" s="1868"/>
      <c r="K39" s="1868"/>
      <c r="L39" s="1868"/>
      <c r="M39" s="1868"/>
      <c r="N39" s="1868"/>
      <c r="O39" s="1868"/>
      <c r="P39" s="1868"/>
      <c r="Q39" s="1872"/>
      <c r="R39" s="1872"/>
      <c r="S39" s="1872"/>
      <c r="T39" s="1872"/>
      <c r="U39" s="1872"/>
      <c r="V39" s="1872"/>
      <c r="W39" s="1872"/>
      <c r="X39" s="1872"/>
      <c r="Y39" s="1872"/>
      <c r="Z39" s="1873"/>
      <c r="AA39" s="1900"/>
      <c r="AB39" s="1901"/>
      <c r="AC39" s="1901"/>
      <c r="AD39" s="1901"/>
      <c r="AE39" s="1901"/>
      <c r="AF39" s="1901"/>
      <c r="AG39" s="1901"/>
      <c r="AH39" s="1901"/>
      <c r="AI39" s="1901"/>
      <c r="AJ39" s="1903"/>
      <c r="AK39" s="1872"/>
      <c r="AL39" s="1872"/>
      <c r="AM39" s="1872"/>
      <c r="AN39" s="1872"/>
      <c r="AO39" s="1874"/>
    </row>
    <row r="40" spans="2:41" ht="14.45" customHeight="1" x14ac:dyDescent="0.25">
      <c r="B40" s="1905"/>
      <c r="C40" s="1906"/>
      <c r="D40" s="1851" t="s">
        <v>1575</v>
      </c>
      <c r="E40" s="1851"/>
      <c r="F40" s="1851"/>
      <c r="G40" s="1851"/>
      <c r="H40" s="1851"/>
      <c r="I40" s="1851"/>
      <c r="J40" s="1851"/>
      <c r="K40" s="1851"/>
      <c r="L40" s="1851"/>
      <c r="M40" s="1851"/>
      <c r="N40" s="1851"/>
      <c r="O40" s="1851"/>
      <c r="P40" s="1851"/>
      <c r="Q40" s="1851"/>
      <c r="R40" s="1851"/>
      <c r="S40" s="1851"/>
      <c r="T40" s="1851"/>
      <c r="U40" s="1851"/>
      <c r="V40" s="1851"/>
      <c r="W40" s="1851"/>
      <c r="X40" s="1851"/>
      <c r="Y40" s="1851"/>
      <c r="Z40" s="1851"/>
      <c r="AA40" s="1851"/>
      <c r="AB40" s="1851"/>
      <c r="AC40" s="1851"/>
      <c r="AD40" s="1851"/>
      <c r="AE40" s="1851"/>
      <c r="AF40" s="1851"/>
      <c r="AG40" s="1851"/>
      <c r="AH40" s="1851"/>
      <c r="AI40" s="1851"/>
      <c r="AJ40" s="1851"/>
      <c r="AK40" s="1851"/>
      <c r="AL40" s="1851"/>
      <c r="AM40" s="1851"/>
      <c r="AN40" s="1851"/>
      <c r="AO40" s="1875"/>
    </row>
    <row r="41" spans="2:41" ht="14.45" customHeight="1" x14ac:dyDescent="0.25">
      <c r="B41" s="534"/>
      <c r="C41" s="1908"/>
      <c r="D41" s="1908"/>
      <c r="E41" s="1857" t="s">
        <v>1576</v>
      </c>
      <c r="F41" s="1857"/>
      <c r="G41" s="1857"/>
      <c r="H41" s="1857"/>
      <c r="I41" s="1857"/>
      <c r="J41" s="1857"/>
      <c r="K41" s="1857"/>
      <c r="L41" s="1857"/>
      <c r="M41" s="1857"/>
      <c r="N41" s="1857"/>
      <c r="O41" s="1857"/>
      <c r="P41" s="1857"/>
      <c r="Q41" s="1878"/>
      <c r="R41" s="1878"/>
      <c r="S41" s="1878"/>
      <c r="T41" s="1878"/>
      <c r="U41" s="1878"/>
      <c r="V41" s="1878"/>
      <c r="W41" s="1878"/>
      <c r="X41" s="1878"/>
      <c r="Y41" s="1878"/>
      <c r="Z41" s="1879"/>
      <c r="AA41" s="1880"/>
      <c r="AB41" s="1878"/>
      <c r="AC41" s="1878"/>
      <c r="AD41" s="1878"/>
      <c r="AE41" s="1878"/>
      <c r="AF41" s="1878"/>
      <c r="AG41" s="1878"/>
      <c r="AH41" s="1878"/>
      <c r="AI41" s="1878"/>
      <c r="AJ41" s="1879"/>
      <c r="AK41" s="1880"/>
      <c r="AL41" s="1878"/>
      <c r="AM41" s="1878"/>
      <c r="AN41" s="1878"/>
      <c r="AO41" s="1881"/>
    </row>
    <row r="42" spans="2:41" ht="14.45" customHeight="1" x14ac:dyDescent="0.25">
      <c r="B42" s="534"/>
      <c r="C42" s="1908"/>
      <c r="D42" s="1908"/>
      <c r="E42" s="1857" t="s">
        <v>1561</v>
      </c>
      <c r="F42" s="1857"/>
      <c r="G42" s="1857"/>
      <c r="H42" s="1857"/>
      <c r="I42" s="1857"/>
      <c r="J42" s="1857"/>
      <c r="K42" s="1857"/>
      <c r="L42" s="1857"/>
      <c r="M42" s="1857"/>
      <c r="N42" s="1857"/>
      <c r="O42" s="1857"/>
      <c r="P42" s="1857"/>
      <c r="Q42" s="1896"/>
      <c r="R42" s="1896"/>
      <c r="S42" s="1896"/>
      <c r="T42" s="1896"/>
      <c r="U42" s="1896"/>
      <c r="V42" s="1896"/>
      <c r="W42" s="1896"/>
      <c r="X42" s="1896"/>
      <c r="Y42" s="1896"/>
      <c r="Z42" s="1897"/>
      <c r="AA42" s="1899"/>
      <c r="AB42" s="1896"/>
      <c r="AC42" s="1896"/>
      <c r="AD42" s="1896"/>
      <c r="AE42" s="1896"/>
      <c r="AF42" s="1896"/>
      <c r="AG42" s="1896"/>
      <c r="AH42" s="1896"/>
      <c r="AI42" s="1896"/>
      <c r="AJ42" s="1897"/>
      <c r="AK42" s="1899"/>
      <c r="AL42" s="1896"/>
      <c r="AM42" s="1896"/>
      <c r="AN42" s="1896"/>
      <c r="AO42" s="1907"/>
    </row>
    <row r="43" spans="2:41" ht="14.45" customHeight="1" x14ac:dyDescent="0.25">
      <c r="B43" s="531"/>
      <c r="C43" s="1909"/>
      <c r="D43" s="1909"/>
      <c r="E43" s="1868" t="s">
        <v>1562</v>
      </c>
      <c r="F43" s="1868"/>
      <c r="G43" s="1868"/>
      <c r="H43" s="1868"/>
      <c r="I43" s="1868"/>
      <c r="J43" s="1868"/>
      <c r="K43" s="1868"/>
      <c r="L43" s="1868"/>
      <c r="M43" s="1868"/>
      <c r="N43" s="1868"/>
      <c r="O43" s="1868"/>
      <c r="P43" s="1868"/>
      <c r="Q43" s="1872"/>
      <c r="R43" s="1872"/>
      <c r="S43" s="1872"/>
      <c r="T43" s="1872"/>
      <c r="U43" s="1872"/>
      <c r="V43" s="1872"/>
      <c r="W43" s="1872"/>
      <c r="X43" s="1872"/>
      <c r="Y43" s="1872"/>
      <c r="Z43" s="1873"/>
      <c r="AA43" s="1872"/>
      <c r="AB43" s="1872"/>
      <c r="AC43" s="1872"/>
      <c r="AD43" s="1872"/>
      <c r="AE43" s="1872"/>
      <c r="AF43" s="1872"/>
      <c r="AG43" s="1872"/>
      <c r="AH43" s="1872"/>
      <c r="AI43" s="1872"/>
      <c r="AJ43" s="1873"/>
      <c r="AK43" s="1872"/>
      <c r="AL43" s="1872"/>
      <c r="AM43" s="1872"/>
      <c r="AN43" s="1872"/>
      <c r="AO43" s="1874"/>
    </row>
    <row r="44" spans="2:41" s="397" customFormat="1" ht="14.45" customHeight="1" x14ac:dyDescent="0.2">
      <c r="B44" s="1894"/>
      <c r="C44" s="1895"/>
      <c r="D44" s="1851" t="s">
        <v>1560</v>
      </c>
      <c r="E44" s="1910"/>
      <c r="F44" s="1910"/>
      <c r="G44" s="1910"/>
      <c r="H44" s="1910"/>
      <c r="I44" s="1910"/>
      <c r="J44" s="1910"/>
      <c r="K44" s="1910"/>
      <c r="L44" s="1910"/>
      <c r="M44" s="1910"/>
      <c r="N44" s="1910"/>
      <c r="O44" s="1910"/>
      <c r="P44" s="1910"/>
      <c r="Q44" s="522"/>
      <c r="R44" s="522"/>
      <c r="S44" s="522"/>
      <c r="T44" s="1853" t="s">
        <v>1563</v>
      </c>
      <c r="U44" s="1853"/>
      <c r="V44" s="1853"/>
      <c r="W44" s="1853"/>
      <c r="X44" s="1853"/>
      <c r="Y44" s="1853"/>
      <c r="Z44" s="1853"/>
      <c r="AA44" s="1853"/>
      <c r="AB44" s="1853"/>
      <c r="AC44" s="1853"/>
      <c r="AD44" s="1853"/>
      <c r="AE44" s="1853" t="s">
        <v>1564</v>
      </c>
      <c r="AF44" s="1853"/>
      <c r="AG44" s="1853"/>
      <c r="AH44" s="1853"/>
      <c r="AI44" s="1853"/>
      <c r="AJ44" s="1853"/>
      <c r="AK44" s="1853"/>
      <c r="AL44" s="1853"/>
      <c r="AM44" s="1853"/>
      <c r="AN44" s="1853"/>
      <c r="AO44" s="1854"/>
    </row>
    <row r="45" spans="2:41" s="397" customFormat="1" ht="14.45" customHeight="1" x14ac:dyDescent="0.2">
      <c r="B45" s="533"/>
      <c r="C45" s="1904"/>
      <c r="D45" s="1904"/>
      <c r="E45" s="1911" t="s">
        <v>1559</v>
      </c>
      <c r="F45" s="1911"/>
      <c r="G45" s="1911"/>
      <c r="H45" s="1911"/>
      <c r="I45" s="1911"/>
      <c r="J45" s="1911"/>
      <c r="K45" s="1911"/>
      <c r="L45" s="1911"/>
      <c r="M45" s="1911"/>
      <c r="N45" s="1911"/>
      <c r="O45" s="1911"/>
      <c r="P45" s="1911"/>
      <c r="Q45" s="1911"/>
      <c r="R45" s="1911"/>
      <c r="S45" s="1911"/>
      <c r="T45" s="1878"/>
      <c r="U45" s="1878"/>
      <c r="V45" s="1878"/>
      <c r="W45" s="1878"/>
      <c r="X45" s="1878"/>
      <c r="Y45" s="1878"/>
      <c r="Z45" s="1878"/>
      <c r="AA45" s="1878"/>
      <c r="AB45" s="1878"/>
      <c r="AC45" s="1878"/>
      <c r="AD45" s="1879"/>
      <c r="AE45" s="1872"/>
      <c r="AF45" s="1872"/>
      <c r="AG45" s="1872"/>
      <c r="AH45" s="1872"/>
      <c r="AI45" s="1872"/>
      <c r="AJ45" s="1872"/>
      <c r="AK45" s="1872"/>
      <c r="AL45" s="1872"/>
      <c r="AM45" s="1872"/>
      <c r="AN45" s="1872"/>
      <c r="AO45" s="1874"/>
    </row>
    <row r="46" spans="2:41" s="397" customFormat="1" ht="14.45" customHeight="1" x14ac:dyDescent="0.2">
      <c r="B46" s="531"/>
      <c r="C46" s="1909"/>
      <c r="D46" s="1909"/>
      <c r="E46" s="1912" t="s">
        <v>1540</v>
      </c>
      <c r="F46" s="1912"/>
      <c r="G46" s="1912"/>
      <c r="H46" s="1912"/>
      <c r="I46" s="1912"/>
      <c r="J46" s="1912"/>
      <c r="K46" s="1912"/>
      <c r="L46" s="1912"/>
      <c r="M46" s="1912"/>
      <c r="N46" s="1912"/>
      <c r="O46" s="1912"/>
      <c r="P46" s="1912"/>
      <c r="Q46" s="1912"/>
      <c r="R46" s="1912"/>
      <c r="S46" s="1912"/>
      <c r="T46" s="1872"/>
      <c r="U46" s="1872"/>
      <c r="V46" s="1872"/>
      <c r="W46" s="1872"/>
      <c r="X46" s="1872"/>
      <c r="Y46" s="1872"/>
      <c r="Z46" s="1872"/>
      <c r="AA46" s="1872"/>
      <c r="AB46" s="1872"/>
      <c r="AC46" s="1872"/>
      <c r="AD46" s="1873"/>
      <c r="AE46" s="1900"/>
      <c r="AF46" s="1901"/>
      <c r="AG46" s="1901"/>
      <c r="AH46" s="1901"/>
      <c r="AI46" s="1901"/>
      <c r="AJ46" s="1901"/>
      <c r="AK46" s="1901"/>
      <c r="AL46" s="1901"/>
      <c r="AM46" s="1901"/>
      <c r="AN46" s="1901"/>
      <c r="AO46" s="1902"/>
    </row>
    <row r="47" spans="2:41" s="397" customFormat="1" ht="13.15" customHeight="1" x14ac:dyDescent="0.2">
      <c r="B47" s="1894"/>
      <c r="C47" s="1895"/>
      <c r="D47" s="1913" t="s">
        <v>1761</v>
      </c>
      <c r="E47" s="1913"/>
      <c r="F47" s="1913"/>
      <c r="G47" s="1913"/>
      <c r="H47" s="1913"/>
      <c r="I47" s="1913"/>
      <c r="J47" s="1913"/>
      <c r="K47" s="1913"/>
      <c r="L47" s="1913"/>
      <c r="M47" s="1913"/>
      <c r="N47" s="1913"/>
      <c r="O47" s="1913"/>
      <c r="P47" s="1913"/>
      <c r="Q47" s="1914" t="s">
        <v>1565</v>
      </c>
      <c r="R47" s="1914"/>
      <c r="S47" s="1914"/>
      <c r="T47" s="1914"/>
      <c r="U47" s="1914"/>
      <c r="V47" s="1914"/>
      <c r="W47" s="1914"/>
      <c r="X47" s="1914"/>
      <c r="Y47" s="1914"/>
      <c r="Z47" s="1914"/>
      <c r="AA47" s="1853" t="s">
        <v>1532</v>
      </c>
      <c r="AB47" s="1853"/>
      <c r="AC47" s="1853"/>
      <c r="AD47" s="1853"/>
      <c r="AE47" s="1853"/>
      <c r="AF47" s="1853"/>
      <c r="AG47" s="1853"/>
      <c r="AH47" s="1853"/>
      <c r="AI47" s="1853"/>
      <c r="AJ47" s="1853"/>
      <c r="AK47" s="1853" t="s">
        <v>1533</v>
      </c>
      <c r="AL47" s="1853"/>
      <c r="AM47" s="1853"/>
      <c r="AN47" s="1853"/>
      <c r="AO47" s="1854"/>
    </row>
    <row r="48" spans="2:41" s="397" customFormat="1" ht="14.45" customHeight="1" x14ac:dyDescent="0.2">
      <c r="B48" s="533"/>
      <c r="C48" s="1898"/>
      <c r="D48" s="1898"/>
      <c r="E48" s="1915"/>
      <c r="F48" s="1915"/>
      <c r="G48" s="1915"/>
      <c r="H48" s="1915"/>
      <c r="I48" s="1915"/>
      <c r="J48" s="1915"/>
      <c r="K48" s="1915"/>
      <c r="L48" s="1915"/>
      <c r="M48" s="1915"/>
      <c r="N48" s="1915"/>
      <c r="O48" s="1915"/>
      <c r="P48" s="1915"/>
      <c r="Q48" s="1896"/>
      <c r="R48" s="1896"/>
      <c r="S48" s="1896"/>
      <c r="T48" s="1896"/>
      <c r="U48" s="1896"/>
      <c r="V48" s="1896"/>
      <c r="W48" s="1896"/>
      <c r="X48" s="1896"/>
      <c r="Y48" s="1896"/>
      <c r="Z48" s="1897"/>
      <c r="AA48" s="1880"/>
      <c r="AB48" s="1878"/>
      <c r="AC48" s="1878"/>
      <c r="AD48" s="1878"/>
      <c r="AE48" s="1878"/>
      <c r="AF48" s="1878"/>
      <c r="AG48" s="1878"/>
      <c r="AH48" s="1878"/>
      <c r="AI48" s="1878"/>
      <c r="AJ48" s="1879"/>
      <c r="AK48" s="1880"/>
      <c r="AL48" s="1878"/>
      <c r="AM48" s="1878"/>
      <c r="AN48" s="1878"/>
      <c r="AO48" s="1881"/>
    </row>
    <row r="49" spans="2:41" s="397" customFormat="1" ht="14.45" customHeight="1" x14ac:dyDescent="0.2">
      <c r="B49" s="533"/>
      <c r="C49" s="1898"/>
      <c r="D49" s="1898"/>
      <c r="E49" s="1916"/>
      <c r="F49" s="1916"/>
      <c r="G49" s="1916"/>
      <c r="H49" s="1916"/>
      <c r="I49" s="1916"/>
      <c r="J49" s="1916"/>
      <c r="K49" s="1916"/>
      <c r="L49" s="1916"/>
      <c r="M49" s="1916"/>
      <c r="N49" s="1916"/>
      <c r="O49" s="1916"/>
      <c r="P49" s="1916"/>
      <c r="Q49" s="1872"/>
      <c r="R49" s="1872"/>
      <c r="S49" s="1872"/>
      <c r="T49" s="1872"/>
      <c r="U49" s="1872"/>
      <c r="V49" s="1872"/>
      <c r="W49" s="1872"/>
      <c r="X49" s="1872"/>
      <c r="Y49" s="1872"/>
      <c r="Z49" s="1873"/>
      <c r="AA49" s="1899"/>
      <c r="AB49" s="1896"/>
      <c r="AC49" s="1896"/>
      <c r="AD49" s="1896"/>
      <c r="AE49" s="1896"/>
      <c r="AF49" s="1896"/>
      <c r="AG49" s="1896"/>
      <c r="AH49" s="1896"/>
      <c r="AI49" s="1896"/>
      <c r="AJ49" s="1897"/>
      <c r="AK49" s="1899"/>
      <c r="AL49" s="1896"/>
      <c r="AM49" s="1896"/>
      <c r="AN49" s="1896"/>
      <c r="AO49" s="1907"/>
    </row>
    <row r="50" spans="2:41" s="397" customFormat="1" ht="14.45" customHeight="1" x14ac:dyDescent="0.2">
      <c r="B50" s="533"/>
      <c r="C50" s="1898"/>
      <c r="D50" s="1898"/>
      <c r="E50" s="1915"/>
      <c r="F50" s="1915"/>
      <c r="G50" s="1915"/>
      <c r="H50" s="1915"/>
      <c r="I50" s="1915"/>
      <c r="J50" s="1915"/>
      <c r="K50" s="1915"/>
      <c r="L50" s="1915"/>
      <c r="M50" s="1915"/>
      <c r="N50" s="1915"/>
      <c r="O50" s="1915"/>
      <c r="P50" s="1915"/>
      <c r="Q50" s="1896"/>
      <c r="R50" s="1896"/>
      <c r="S50" s="1896"/>
      <c r="T50" s="1896"/>
      <c r="U50" s="1896"/>
      <c r="V50" s="1896"/>
      <c r="W50" s="1896"/>
      <c r="X50" s="1896"/>
      <c r="Y50" s="1896"/>
      <c r="Z50" s="1897"/>
      <c r="AA50" s="1899"/>
      <c r="AB50" s="1896"/>
      <c r="AC50" s="1896"/>
      <c r="AD50" s="1896"/>
      <c r="AE50" s="1896"/>
      <c r="AF50" s="1896"/>
      <c r="AG50" s="1896"/>
      <c r="AH50" s="1896"/>
      <c r="AI50" s="1896"/>
      <c r="AJ50" s="1897"/>
      <c r="AK50" s="1872"/>
      <c r="AL50" s="1872"/>
      <c r="AM50" s="1872"/>
      <c r="AN50" s="1872"/>
      <c r="AO50" s="1874"/>
    </row>
    <row r="51" spans="2:41" s="397" customFormat="1" ht="14.45" customHeight="1" x14ac:dyDescent="0.2">
      <c r="B51" s="533"/>
      <c r="C51" s="1898"/>
      <c r="D51" s="1898"/>
      <c r="E51" s="1916"/>
      <c r="F51" s="1916"/>
      <c r="G51" s="1916"/>
      <c r="H51" s="1916"/>
      <c r="I51" s="1916"/>
      <c r="J51" s="1916"/>
      <c r="K51" s="1916"/>
      <c r="L51" s="1916"/>
      <c r="M51" s="1916"/>
      <c r="N51" s="1916"/>
      <c r="O51" s="1916"/>
      <c r="P51" s="1916"/>
      <c r="Q51" s="1896"/>
      <c r="R51" s="1896"/>
      <c r="S51" s="1896"/>
      <c r="T51" s="1896"/>
      <c r="U51" s="1896"/>
      <c r="V51" s="1896"/>
      <c r="W51" s="1896"/>
      <c r="X51" s="1896"/>
      <c r="Y51" s="1896"/>
      <c r="Z51" s="1897"/>
      <c r="AA51" s="1899"/>
      <c r="AB51" s="1896"/>
      <c r="AC51" s="1896"/>
      <c r="AD51" s="1896"/>
      <c r="AE51" s="1896"/>
      <c r="AF51" s="1896"/>
      <c r="AG51" s="1896"/>
      <c r="AH51" s="1896"/>
      <c r="AI51" s="1896"/>
      <c r="AJ51" s="1897"/>
      <c r="AK51" s="1899"/>
      <c r="AL51" s="1896"/>
      <c r="AM51" s="1896"/>
      <c r="AN51" s="1896"/>
      <c r="AO51" s="1907"/>
    </row>
    <row r="52" spans="2:41" s="397" customFormat="1" ht="14.45" customHeight="1" x14ac:dyDescent="0.2">
      <c r="B52" s="533"/>
      <c r="C52" s="1898"/>
      <c r="D52" s="1898"/>
      <c r="E52" s="1917"/>
      <c r="F52" s="1917"/>
      <c r="G52" s="1917"/>
      <c r="H52" s="1917"/>
      <c r="I52" s="1917"/>
      <c r="J52" s="1917"/>
      <c r="K52" s="1917"/>
      <c r="L52" s="1917"/>
      <c r="M52" s="1917"/>
      <c r="N52" s="1917"/>
      <c r="O52" s="1917"/>
      <c r="P52" s="1917"/>
      <c r="Q52" s="1896"/>
      <c r="R52" s="1896"/>
      <c r="S52" s="1896"/>
      <c r="T52" s="1896"/>
      <c r="U52" s="1896"/>
      <c r="V52" s="1896"/>
      <c r="W52" s="1896"/>
      <c r="X52" s="1896"/>
      <c r="Y52" s="1896"/>
      <c r="Z52" s="1897"/>
      <c r="AA52" s="1899"/>
      <c r="AB52" s="1896"/>
      <c r="AC52" s="1896"/>
      <c r="AD52" s="1896"/>
      <c r="AE52" s="1896"/>
      <c r="AF52" s="1896"/>
      <c r="AG52" s="1896"/>
      <c r="AH52" s="1896"/>
      <c r="AI52" s="1896"/>
      <c r="AJ52" s="1897"/>
      <c r="AK52" s="1899"/>
      <c r="AL52" s="1896"/>
      <c r="AM52" s="1896"/>
      <c r="AN52" s="1896"/>
      <c r="AO52" s="1907"/>
    </row>
    <row r="53" spans="2:41" s="397" customFormat="1" ht="14.45" customHeight="1" thickBot="1" x14ac:dyDescent="0.25">
      <c r="B53" s="535"/>
      <c r="C53" s="1922"/>
      <c r="D53" s="1922"/>
      <c r="E53" s="1918"/>
      <c r="F53" s="1918"/>
      <c r="G53" s="1918"/>
      <c r="H53" s="1918"/>
      <c r="I53" s="1918"/>
      <c r="J53" s="1918"/>
      <c r="K53" s="1918"/>
      <c r="L53" s="1918"/>
      <c r="M53" s="1918"/>
      <c r="N53" s="1918"/>
      <c r="O53" s="1918"/>
      <c r="P53" s="1918"/>
      <c r="Q53" s="1919"/>
      <c r="R53" s="1919"/>
      <c r="S53" s="1919"/>
      <c r="T53" s="1919"/>
      <c r="U53" s="1919"/>
      <c r="V53" s="1919"/>
      <c r="W53" s="1919"/>
      <c r="X53" s="1919"/>
      <c r="Y53" s="1919"/>
      <c r="Z53" s="1920"/>
      <c r="AA53" s="1919"/>
      <c r="AB53" s="1919"/>
      <c r="AC53" s="1919"/>
      <c r="AD53" s="1919"/>
      <c r="AE53" s="1919"/>
      <c r="AF53" s="1919"/>
      <c r="AG53" s="1919"/>
      <c r="AH53" s="1919"/>
      <c r="AI53" s="1919"/>
      <c r="AJ53" s="1920"/>
      <c r="AK53" s="1919"/>
      <c r="AL53" s="1919"/>
      <c r="AM53" s="1919"/>
      <c r="AN53" s="1919"/>
      <c r="AO53" s="1921"/>
    </row>
    <row r="54" spans="2:41" ht="3.6" customHeight="1" thickBot="1" x14ac:dyDescent="0.3">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row>
    <row r="55" spans="2:41" ht="16.149999999999999" customHeight="1" x14ac:dyDescent="0.25">
      <c r="B55" s="589" t="s">
        <v>1573</v>
      </c>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1"/>
    </row>
    <row r="56" spans="2:41" ht="16.149999999999999" customHeight="1" x14ac:dyDescent="0.25">
      <c r="B56" s="586" t="s">
        <v>1574</v>
      </c>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7"/>
      <c r="AF56" s="587"/>
      <c r="AG56" s="587"/>
      <c r="AH56" s="587"/>
      <c r="AI56" s="587"/>
      <c r="AJ56" s="587"/>
      <c r="AK56" s="587"/>
      <c r="AL56" s="587"/>
      <c r="AM56" s="587"/>
      <c r="AN56" s="587"/>
      <c r="AO56" s="588"/>
    </row>
    <row r="57" spans="2:41" ht="16.149999999999999" customHeight="1" x14ac:dyDescent="0.25">
      <c r="B57" s="568"/>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70"/>
    </row>
    <row r="58" spans="2:41" ht="16.149999999999999" customHeight="1" x14ac:dyDescent="0.25">
      <c r="B58" s="568"/>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70"/>
    </row>
    <row r="59" spans="2:41" ht="16.149999999999999" customHeight="1" thickBot="1" x14ac:dyDescent="0.3">
      <c r="B59" s="571"/>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572"/>
      <c r="AL59" s="572"/>
      <c r="AM59" s="572"/>
      <c r="AN59" s="572"/>
      <c r="AO59" s="573"/>
    </row>
    <row r="60" spans="2:41" ht="3.6" customHeight="1" thickBot="1" x14ac:dyDescent="0.3">
      <c r="B60" s="689"/>
      <c r="C60" s="689"/>
      <c r="D60" s="689"/>
      <c r="E60" s="689"/>
      <c r="F60" s="689"/>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row>
    <row r="61" spans="2:41" ht="15.75" x14ac:dyDescent="0.25">
      <c r="B61" s="589" t="s">
        <v>1611</v>
      </c>
      <c r="C61" s="590"/>
      <c r="D61" s="590"/>
      <c r="E61" s="590"/>
      <c r="F61" s="590"/>
      <c r="G61" s="590"/>
      <c r="H61" s="590"/>
      <c r="I61" s="590"/>
      <c r="J61" s="590"/>
      <c r="K61" s="590"/>
      <c r="L61" s="590"/>
      <c r="M61" s="590"/>
      <c r="N61" s="590"/>
      <c r="O61" s="590"/>
      <c r="P61" s="590"/>
      <c r="Q61" s="590"/>
      <c r="R61" s="590"/>
      <c r="S61" s="590"/>
      <c r="T61" s="590"/>
      <c r="U61" s="590"/>
      <c r="V61" s="590"/>
      <c r="W61" s="590"/>
      <c r="X61" s="590"/>
      <c r="Y61" s="590"/>
      <c r="Z61" s="590"/>
      <c r="AA61" s="590"/>
      <c r="AB61" s="590"/>
      <c r="AC61" s="590"/>
      <c r="AD61" s="590"/>
      <c r="AE61" s="590"/>
      <c r="AF61" s="590"/>
      <c r="AG61" s="590"/>
      <c r="AH61" s="590"/>
      <c r="AI61" s="590"/>
      <c r="AJ61" s="590"/>
      <c r="AK61" s="590"/>
      <c r="AL61" s="590"/>
      <c r="AM61" s="590"/>
      <c r="AN61" s="590"/>
      <c r="AO61" s="591"/>
    </row>
    <row r="62" spans="2:41" x14ac:dyDescent="0.25">
      <c r="B62" s="520" t="s">
        <v>1754</v>
      </c>
      <c r="C62" s="521"/>
      <c r="D62" s="521"/>
      <c r="E62" s="521"/>
      <c r="F62" s="521"/>
      <c r="G62" s="521"/>
      <c r="H62" s="521"/>
      <c r="I62" s="521"/>
      <c r="J62" s="521"/>
      <c r="K62" s="521"/>
      <c r="L62" s="1843" t="s">
        <v>1546</v>
      </c>
      <c r="M62" s="1843"/>
      <c r="N62" s="1843"/>
      <c r="O62" s="1843"/>
      <c r="P62" s="1843"/>
      <c r="Q62" s="1844"/>
      <c r="R62" s="1844"/>
      <c r="S62" s="1844"/>
      <c r="T62" s="1844"/>
      <c r="U62" s="1844"/>
      <c r="V62" s="1844"/>
      <c r="W62" s="1844"/>
      <c r="X62" s="1844"/>
      <c r="Y62" s="1844"/>
      <c r="Z62" s="1844"/>
      <c r="AA62" s="1845" t="s">
        <v>1547</v>
      </c>
      <c r="AB62" s="1845"/>
      <c r="AC62" s="1845"/>
      <c r="AD62" s="1845"/>
      <c r="AE62" s="1845"/>
      <c r="AF62" s="1845"/>
      <c r="AG62" s="1844"/>
      <c r="AH62" s="1844"/>
      <c r="AI62" s="1844"/>
      <c r="AJ62" s="1844"/>
      <c r="AK62" s="1844"/>
      <c r="AL62" s="1844"/>
      <c r="AM62" s="1844"/>
      <c r="AN62" s="1844"/>
      <c r="AO62" s="1846"/>
    </row>
    <row r="63" spans="2:41" ht="15" customHeight="1" x14ac:dyDescent="0.25">
      <c r="B63" s="1849"/>
      <c r="C63" s="1850"/>
      <c r="D63" s="1851" t="s">
        <v>1534</v>
      </c>
      <c r="E63" s="1851"/>
      <c r="F63" s="1851"/>
      <c r="G63" s="1851"/>
      <c r="H63" s="1851"/>
      <c r="I63" s="1851"/>
      <c r="J63" s="1851"/>
      <c r="K63" s="1851"/>
      <c r="L63" s="1851"/>
      <c r="M63" s="1851"/>
      <c r="N63" s="1851"/>
      <c r="O63" s="1851"/>
      <c r="P63" s="1851"/>
      <c r="Q63" s="1852" t="s">
        <v>1531</v>
      </c>
      <c r="R63" s="1852"/>
      <c r="S63" s="1852"/>
      <c r="T63" s="1852"/>
      <c r="U63" s="1852"/>
      <c r="V63" s="1852"/>
      <c r="W63" s="1852"/>
      <c r="X63" s="1852"/>
      <c r="Y63" s="1852"/>
      <c r="Z63" s="1852"/>
      <c r="AA63" s="1853" t="s">
        <v>1532</v>
      </c>
      <c r="AB63" s="1853"/>
      <c r="AC63" s="1853"/>
      <c r="AD63" s="1853"/>
      <c r="AE63" s="1853"/>
      <c r="AF63" s="1853"/>
      <c r="AG63" s="1853"/>
      <c r="AH63" s="1853"/>
      <c r="AI63" s="1853"/>
      <c r="AJ63" s="1853"/>
      <c r="AK63" s="1853" t="s">
        <v>1533</v>
      </c>
      <c r="AL63" s="1853"/>
      <c r="AM63" s="1853"/>
      <c r="AN63" s="1853"/>
      <c r="AO63" s="1854"/>
    </row>
    <row r="64" spans="2:41" x14ac:dyDescent="0.25">
      <c r="B64" s="1855"/>
      <c r="C64" s="1856"/>
      <c r="D64" s="1856"/>
      <c r="E64" s="1857" t="s">
        <v>1535</v>
      </c>
      <c r="F64" s="1857"/>
      <c r="G64" s="1857"/>
      <c r="H64" s="1857"/>
      <c r="I64" s="1857"/>
      <c r="J64" s="1857"/>
      <c r="K64" s="1857"/>
      <c r="L64" s="1857"/>
      <c r="M64" s="1857"/>
      <c r="N64" s="1857"/>
      <c r="O64" s="1857"/>
      <c r="P64" s="1857"/>
      <c r="Q64" s="1858"/>
      <c r="R64" s="1858"/>
      <c r="S64" s="1858"/>
      <c r="T64" s="1858"/>
      <c r="U64" s="1858"/>
      <c r="V64" s="1858"/>
      <c r="W64" s="1858"/>
      <c r="X64" s="1858"/>
      <c r="Y64" s="1858"/>
      <c r="Z64" s="1859"/>
      <c r="AA64" s="1860"/>
      <c r="AB64" s="1861"/>
      <c r="AC64" s="1861"/>
      <c r="AD64" s="1861"/>
      <c r="AE64" s="1861"/>
      <c r="AF64" s="1861"/>
      <c r="AG64" s="1861"/>
      <c r="AH64" s="1861"/>
      <c r="AI64" s="1861"/>
      <c r="AJ64" s="1862"/>
      <c r="AK64" s="1863"/>
      <c r="AL64" s="1863"/>
      <c r="AM64" s="1863"/>
      <c r="AN64" s="1863"/>
      <c r="AO64" s="1864"/>
    </row>
    <row r="65" spans="2:41" x14ac:dyDescent="0.25">
      <c r="B65" s="1855"/>
      <c r="C65" s="1856"/>
      <c r="D65" s="1856"/>
      <c r="E65" s="1857" t="s">
        <v>1536</v>
      </c>
      <c r="F65" s="1857"/>
      <c r="G65" s="1857"/>
      <c r="H65" s="1857"/>
      <c r="I65" s="1857"/>
      <c r="J65" s="1857"/>
      <c r="K65" s="1857"/>
      <c r="L65" s="1857"/>
      <c r="M65" s="1857"/>
      <c r="N65" s="1857"/>
      <c r="O65" s="1857"/>
      <c r="P65" s="1857"/>
      <c r="Q65" s="1861"/>
      <c r="R65" s="1861"/>
      <c r="S65" s="1861"/>
      <c r="T65" s="1861"/>
      <c r="U65" s="1861"/>
      <c r="V65" s="1861"/>
      <c r="W65" s="1861"/>
      <c r="X65" s="1861"/>
      <c r="Y65" s="1861"/>
      <c r="Z65" s="1862"/>
      <c r="AA65" s="1860"/>
      <c r="AB65" s="1861"/>
      <c r="AC65" s="1861"/>
      <c r="AD65" s="1861"/>
      <c r="AE65" s="1861"/>
      <c r="AF65" s="1861"/>
      <c r="AG65" s="1861"/>
      <c r="AH65" s="1861"/>
      <c r="AI65" s="1861"/>
      <c r="AJ65" s="1862"/>
      <c r="AK65" s="1860"/>
      <c r="AL65" s="1861"/>
      <c r="AM65" s="1861"/>
      <c r="AN65" s="1861"/>
      <c r="AO65" s="1865"/>
    </row>
    <row r="66" spans="2:41" x14ac:dyDescent="0.25">
      <c r="B66" s="1866"/>
      <c r="C66" s="1867"/>
      <c r="D66" s="1867"/>
      <c r="E66" s="1868" t="s">
        <v>1537</v>
      </c>
      <c r="F66" s="1868"/>
      <c r="G66" s="1868"/>
      <c r="H66" s="1868"/>
      <c r="I66" s="1868"/>
      <c r="J66" s="1868"/>
      <c r="K66" s="1868"/>
      <c r="L66" s="1868"/>
      <c r="M66" s="1868"/>
      <c r="N66" s="1868"/>
      <c r="O66" s="1868"/>
      <c r="P66" s="1868"/>
      <c r="Q66" s="1863"/>
      <c r="R66" s="1863"/>
      <c r="S66" s="1863"/>
      <c r="T66" s="1863"/>
      <c r="U66" s="1863"/>
      <c r="V66" s="1863"/>
      <c r="W66" s="1863"/>
      <c r="X66" s="1863"/>
      <c r="Y66" s="1863"/>
      <c r="Z66" s="1869"/>
      <c r="AA66" s="1863"/>
      <c r="AB66" s="1863"/>
      <c r="AC66" s="1863"/>
      <c r="AD66" s="1863"/>
      <c r="AE66" s="1863"/>
      <c r="AF66" s="1863"/>
      <c r="AG66" s="1863"/>
      <c r="AH66" s="1863"/>
      <c r="AI66" s="1863"/>
      <c r="AJ66" s="1869"/>
      <c r="AK66" s="1863"/>
      <c r="AL66" s="1863"/>
      <c r="AM66" s="1863"/>
      <c r="AN66" s="1863"/>
      <c r="AO66" s="1864"/>
    </row>
    <row r="67" spans="2:41" x14ac:dyDescent="0.25">
      <c r="B67" s="1849"/>
      <c r="C67" s="1850"/>
      <c r="D67" s="1851" t="s">
        <v>1756</v>
      </c>
      <c r="E67" s="1851"/>
      <c r="F67" s="1851"/>
      <c r="G67" s="1851"/>
      <c r="H67" s="1851"/>
      <c r="I67" s="1851"/>
      <c r="J67" s="1851"/>
      <c r="K67" s="1851"/>
      <c r="L67" s="1851"/>
      <c r="M67" s="1851"/>
      <c r="N67" s="1851"/>
      <c r="O67" s="1851"/>
      <c r="P67" s="1851"/>
      <c r="Q67" s="1851"/>
      <c r="R67" s="1851"/>
      <c r="S67" s="1851"/>
      <c r="T67" s="1851"/>
      <c r="U67" s="1851"/>
      <c r="V67" s="1851"/>
      <c r="W67" s="1851"/>
      <c r="X67" s="1851"/>
      <c r="Y67" s="1851"/>
      <c r="Z67" s="1851"/>
      <c r="AA67" s="1851"/>
      <c r="AB67" s="1851"/>
      <c r="AC67" s="1851"/>
      <c r="AD67" s="1851"/>
      <c r="AE67" s="1851"/>
      <c r="AF67" s="1851"/>
      <c r="AG67" s="1851"/>
      <c r="AH67" s="1851"/>
      <c r="AI67" s="1851"/>
      <c r="AJ67" s="1851"/>
      <c r="AK67" s="1851"/>
      <c r="AL67" s="1851"/>
      <c r="AM67" s="1851"/>
      <c r="AN67" s="1851"/>
      <c r="AO67" s="1875"/>
    </row>
    <row r="68" spans="2:41" x14ac:dyDescent="0.25">
      <c r="B68" s="1876"/>
      <c r="C68" s="1877"/>
      <c r="D68" s="1877"/>
      <c r="E68" s="1857" t="s">
        <v>1755</v>
      </c>
      <c r="F68" s="1857"/>
      <c r="G68" s="1857"/>
      <c r="H68" s="1857"/>
      <c r="I68" s="1857"/>
      <c r="J68" s="1857"/>
      <c r="K68" s="1857"/>
      <c r="L68" s="1857"/>
      <c r="M68" s="1857"/>
      <c r="N68" s="1857"/>
      <c r="O68" s="1857"/>
      <c r="P68" s="1857"/>
      <c r="Q68" s="1878"/>
      <c r="R68" s="1878"/>
      <c r="S68" s="1878"/>
      <c r="T68" s="1878"/>
      <c r="U68" s="1878"/>
      <c r="V68" s="1878"/>
      <c r="W68" s="1878"/>
      <c r="X68" s="1878"/>
      <c r="Y68" s="1878"/>
      <c r="Z68" s="1879"/>
      <c r="AA68" s="1880"/>
      <c r="AB68" s="1878"/>
      <c r="AC68" s="1878"/>
      <c r="AD68" s="1878"/>
      <c r="AE68" s="1878"/>
      <c r="AF68" s="1878"/>
      <c r="AG68" s="1878"/>
      <c r="AH68" s="1878"/>
      <c r="AI68" s="1878"/>
      <c r="AJ68" s="1879"/>
      <c r="AK68" s="1880"/>
      <c r="AL68" s="1878"/>
      <c r="AM68" s="1878"/>
      <c r="AN68" s="1878"/>
      <c r="AO68" s="1881"/>
    </row>
    <row r="69" spans="2:41" x14ac:dyDescent="0.25">
      <c r="B69" s="1870"/>
      <c r="C69" s="1871"/>
      <c r="D69" s="1871"/>
      <c r="E69" s="1868" t="s">
        <v>1538</v>
      </c>
      <c r="F69" s="1868"/>
      <c r="G69" s="1868"/>
      <c r="H69" s="1868"/>
      <c r="I69" s="1868"/>
      <c r="J69" s="1868"/>
      <c r="K69" s="1868"/>
      <c r="L69" s="1868"/>
      <c r="M69" s="1868"/>
      <c r="N69" s="1868"/>
      <c r="O69" s="1868"/>
      <c r="P69" s="1868"/>
      <c r="Q69" s="1872"/>
      <c r="R69" s="1872"/>
      <c r="S69" s="1872"/>
      <c r="T69" s="1872"/>
      <c r="U69" s="1872"/>
      <c r="V69" s="1872"/>
      <c r="W69" s="1872"/>
      <c r="X69" s="1872"/>
      <c r="Y69" s="1872"/>
      <c r="Z69" s="1873"/>
      <c r="AA69" s="1872"/>
      <c r="AB69" s="1872"/>
      <c r="AC69" s="1872"/>
      <c r="AD69" s="1872"/>
      <c r="AE69" s="1872"/>
      <c r="AF69" s="1872"/>
      <c r="AG69" s="1872"/>
      <c r="AH69" s="1872"/>
      <c r="AI69" s="1872"/>
      <c r="AJ69" s="1873"/>
      <c r="AK69" s="1872"/>
      <c r="AL69" s="1872"/>
      <c r="AM69" s="1872"/>
      <c r="AN69" s="1872"/>
      <c r="AO69" s="1874"/>
    </row>
    <row r="70" spans="2:41" x14ac:dyDescent="0.25">
      <c r="B70" s="1849"/>
      <c r="C70" s="1850"/>
      <c r="D70" s="1851" t="s">
        <v>1539</v>
      </c>
      <c r="E70" s="1851"/>
      <c r="F70" s="1851"/>
      <c r="G70" s="1851"/>
      <c r="H70" s="1851"/>
      <c r="I70" s="1851"/>
      <c r="J70" s="1851"/>
      <c r="K70" s="1851"/>
      <c r="L70" s="1851"/>
      <c r="M70" s="1851"/>
      <c r="N70" s="1851"/>
      <c r="O70" s="1851"/>
      <c r="P70" s="1851"/>
      <c r="Q70" s="1851"/>
      <c r="R70" s="1851"/>
      <c r="S70" s="1851"/>
      <c r="T70" s="1851"/>
      <c r="U70" s="1851"/>
      <c r="V70" s="1851"/>
      <c r="W70" s="1851"/>
      <c r="X70" s="1851"/>
      <c r="Y70" s="1851"/>
      <c r="Z70" s="1851"/>
      <c r="AA70" s="1851"/>
      <c r="AB70" s="1851"/>
      <c r="AC70" s="1851"/>
      <c r="AD70" s="1851"/>
      <c r="AE70" s="1851"/>
      <c r="AF70" s="1851"/>
      <c r="AG70" s="1851"/>
      <c r="AH70" s="1851"/>
      <c r="AI70" s="1851"/>
      <c r="AJ70" s="1851"/>
      <c r="AK70" s="1851"/>
      <c r="AL70" s="1851"/>
      <c r="AM70" s="1851"/>
      <c r="AN70" s="1851"/>
      <c r="AO70" s="1875"/>
    </row>
    <row r="71" spans="2:41" x14ac:dyDescent="0.25">
      <c r="B71" s="1855"/>
      <c r="C71" s="1856"/>
      <c r="D71" s="1856"/>
      <c r="E71" s="1857" t="s">
        <v>1541</v>
      </c>
      <c r="F71" s="1857"/>
      <c r="G71" s="1857"/>
      <c r="H71" s="1857"/>
      <c r="I71" s="1857"/>
      <c r="J71" s="1857"/>
      <c r="K71" s="1857"/>
      <c r="L71" s="1857"/>
      <c r="M71" s="1857"/>
      <c r="N71" s="1857"/>
      <c r="O71" s="1857"/>
      <c r="P71" s="1857"/>
      <c r="Q71" s="1878"/>
      <c r="R71" s="1878"/>
      <c r="S71" s="1878"/>
      <c r="T71" s="1878"/>
      <c r="U71" s="1878"/>
      <c r="V71" s="1878"/>
      <c r="W71" s="1878"/>
      <c r="X71" s="1878"/>
      <c r="Y71" s="1878"/>
      <c r="Z71" s="1879"/>
      <c r="AA71" s="1880"/>
      <c r="AB71" s="1878"/>
      <c r="AC71" s="1878"/>
      <c r="AD71" s="1878"/>
      <c r="AE71" s="1878"/>
      <c r="AF71" s="1878"/>
      <c r="AG71" s="1878"/>
      <c r="AH71" s="1878"/>
      <c r="AI71" s="1878"/>
      <c r="AJ71" s="1879"/>
      <c r="AK71" s="1880"/>
      <c r="AL71" s="1878"/>
      <c r="AM71" s="1878"/>
      <c r="AN71" s="1878"/>
      <c r="AO71" s="1881"/>
    </row>
    <row r="72" spans="2:41" x14ac:dyDescent="0.25">
      <c r="B72" s="1866"/>
      <c r="C72" s="1867"/>
      <c r="D72" s="1867"/>
      <c r="E72" s="1868" t="s">
        <v>1542</v>
      </c>
      <c r="F72" s="1868"/>
      <c r="G72" s="1868"/>
      <c r="H72" s="1868"/>
      <c r="I72" s="1868"/>
      <c r="J72" s="1868"/>
      <c r="K72" s="1868"/>
      <c r="L72" s="1868"/>
      <c r="M72" s="1868"/>
      <c r="N72" s="1868"/>
      <c r="O72" s="1868"/>
      <c r="P72" s="1868"/>
      <c r="Q72" s="1872"/>
      <c r="R72" s="1872"/>
      <c r="S72" s="1872"/>
      <c r="T72" s="1872"/>
      <c r="U72" s="1872"/>
      <c r="V72" s="1872"/>
      <c r="W72" s="1872"/>
      <c r="X72" s="1872"/>
      <c r="Y72" s="1872"/>
      <c r="Z72" s="1873"/>
      <c r="AA72" s="1872"/>
      <c r="AB72" s="1872"/>
      <c r="AC72" s="1872"/>
      <c r="AD72" s="1872"/>
      <c r="AE72" s="1872"/>
      <c r="AF72" s="1872"/>
      <c r="AG72" s="1872"/>
      <c r="AH72" s="1872"/>
      <c r="AI72" s="1872"/>
      <c r="AJ72" s="1873"/>
      <c r="AK72" s="1872"/>
      <c r="AL72" s="1872"/>
      <c r="AM72" s="1872"/>
      <c r="AN72" s="1872"/>
      <c r="AO72" s="1874"/>
    </row>
    <row r="73" spans="2:41" x14ac:dyDescent="0.25">
      <c r="B73" s="1882" t="s">
        <v>1614</v>
      </c>
      <c r="C73" s="1883"/>
      <c r="D73" s="1883"/>
      <c r="E73" s="1883"/>
      <c r="F73" s="1883"/>
      <c r="G73" s="1883"/>
      <c r="H73" s="1883"/>
      <c r="I73" s="1883"/>
      <c r="J73" s="1883"/>
      <c r="K73" s="1883"/>
      <c r="L73" s="1883"/>
      <c r="M73" s="1883"/>
      <c r="N73" s="1883"/>
      <c r="O73" s="1883"/>
      <c r="P73" s="1883"/>
      <c r="Q73" s="1884" t="s">
        <v>96</v>
      </c>
      <c r="R73" s="1884"/>
      <c r="S73" s="1884"/>
      <c r="T73" s="1884"/>
      <c r="U73" s="1884"/>
      <c r="V73" s="1884"/>
      <c r="W73" s="1884"/>
      <c r="X73" s="1884"/>
      <c r="Y73" s="1884"/>
      <c r="Z73" s="1884"/>
      <c r="AA73" s="1884" t="s">
        <v>1530</v>
      </c>
      <c r="AB73" s="1884"/>
      <c r="AC73" s="1884"/>
      <c r="AD73" s="1884"/>
      <c r="AE73" s="1884"/>
      <c r="AF73" s="1884"/>
      <c r="AG73" s="1884"/>
      <c r="AH73" s="1884"/>
      <c r="AI73" s="1884"/>
      <c r="AJ73" s="1884"/>
      <c r="AK73" s="1884"/>
      <c r="AL73" s="1884"/>
      <c r="AM73" s="1884"/>
      <c r="AN73" s="1884"/>
      <c r="AO73" s="1885"/>
    </row>
    <row r="74" spans="2:41" x14ac:dyDescent="0.25">
      <c r="B74" s="540"/>
      <c r="C74" s="1886" t="s">
        <v>1543</v>
      </c>
      <c r="D74" s="1886"/>
      <c r="E74" s="1886"/>
      <c r="F74" s="1886"/>
      <c r="G74" s="1886"/>
      <c r="H74" s="1886"/>
      <c r="I74" s="1886"/>
      <c r="J74" s="1886"/>
      <c r="K74" s="1886"/>
      <c r="L74" s="1886"/>
      <c r="M74" s="1886"/>
      <c r="N74" s="1886"/>
      <c r="O74" s="1886"/>
      <c r="P74" s="1886"/>
      <c r="Q74" s="1890"/>
      <c r="R74" s="1890"/>
      <c r="S74" s="1890"/>
      <c r="T74" s="1890"/>
      <c r="U74" s="1890"/>
      <c r="V74" s="1887"/>
      <c r="W74" s="1887"/>
      <c r="X74" s="1887"/>
      <c r="Y74" s="1887"/>
      <c r="Z74" s="1891"/>
      <c r="AA74" s="1889"/>
      <c r="AB74" s="1890"/>
      <c r="AC74" s="1890"/>
      <c r="AD74" s="1890"/>
      <c r="AE74" s="1890"/>
      <c r="AF74" s="1890"/>
      <c r="AG74" s="1890"/>
      <c r="AH74" s="1887"/>
      <c r="AI74" s="1887"/>
      <c r="AJ74" s="1887"/>
      <c r="AK74" s="1887"/>
      <c r="AL74" s="1887"/>
      <c r="AM74" s="1887"/>
      <c r="AN74" s="1887"/>
      <c r="AO74" s="1888"/>
    </row>
    <row r="75" spans="2:41" x14ac:dyDescent="0.25">
      <c r="B75" s="540"/>
      <c r="C75" s="1886" t="s">
        <v>1544</v>
      </c>
      <c r="D75" s="1886"/>
      <c r="E75" s="1886"/>
      <c r="F75" s="1886"/>
      <c r="G75" s="1886"/>
      <c r="H75" s="1886"/>
      <c r="I75" s="1886"/>
      <c r="J75" s="1886"/>
      <c r="K75" s="1886"/>
      <c r="L75" s="1886"/>
      <c r="M75" s="1886"/>
      <c r="N75" s="1886"/>
      <c r="O75" s="1886"/>
      <c r="P75" s="1886"/>
      <c r="Q75" s="1890"/>
      <c r="R75" s="1890"/>
      <c r="S75" s="1890"/>
      <c r="T75" s="1890"/>
      <c r="U75" s="1890"/>
      <c r="V75" s="1887"/>
      <c r="W75" s="1887"/>
      <c r="X75" s="1887"/>
      <c r="Y75" s="1887"/>
      <c r="Z75" s="1891"/>
      <c r="AA75" s="1889"/>
      <c r="AB75" s="1890"/>
      <c r="AC75" s="1890"/>
      <c r="AD75" s="1890"/>
      <c r="AE75" s="1890"/>
      <c r="AF75" s="1890"/>
      <c r="AG75" s="1890"/>
      <c r="AH75" s="1887"/>
      <c r="AI75" s="1887"/>
      <c r="AJ75" s="1887"/>
      <c r="AK75" s="1887"/>
      <c r="AL75" s="1887"/>
      <c r="AM75" s="1887"/>
      <c r="AN75" s="1887"/>
      <c r="AO75" s="1888"/>
    </row>
    <row r="76" spans="2:41" x14ac:dyDescent="0.25">
      <c r="B76" s="540"/>
      <c r="C76" s="1886" t="s">
        <v>1545</v>
      </c>
      <c r="D76" s="1886"/>
      <c r="E76" s="1886"/>
      <c r="F76" s="1886"/>
      <c r="G76" s="1886"/>
      <c r="H76" s="1886"/>
      <c r="I76" s="1886"/>
      <c r="J76" s="1886"/>
      <c r="K76" s="1886"/>
      <c r="L76" s="1886"/>
      <c r="M76" s="1886"/>
      <c r="N76" s="1886"/>
      <c r="O76" s="1886"/>
      <c r="P76" s="1886"/>
      <c r="Q76" s="1890"/>
      <c r="R76" s="1890"/>
      <c r="S76" s="1890"/>
      <c r="T76" s="1890"/>
      <c r="U76" s="1890"/>
      <c r="V76" s="1887"/>
      <c r="W76" s="1887"/>
      <c r="X76" s="1887"/>
      <c r="Y76" s="1887"/>
      <c r="Z76" s="1891"/>
      <c r="AA76" s="1889"/>
      <c r="AB76" s="1890"/>
      <c r="AC76" s="1890"/>
      <c r="AD76" s="1890"/>
      <c r="AE76" s="1890"/>
      <c r="AF76" s="1890"/>
      <c r="AG76" s="1890"/>
      <c r="AH76" s="1887"/>
      <c r="AI76" s="1887"/>
      <c r="AJ76" s="1887"/>
      <c r="AK76" s="1887"/>
      <c r="AL76" s="1887"/>
      <c r="AM76" s="1887"/>
      <c r="AN76" s="1887"/>
      <c r="AO76" s="1888"/>
    </row>
    <row r="77" spans="2:41" x14ac:dyDescent="0.25">
      <c r="B77" s="485"/>
      <c r="C77" s="1892" t="s">
        <v>1567</v>
      </c>
      <c r="D77" s="1892"/>
      <c r="E77" s="1892"/>
      <c r="F77" s="1892"/>
      <c r="G77" s="1892"/>
      <c r="H77" s="1892"/>
      <c r="I77" s="1892"/>
      <c r="J77" s="1892"/>
      <c r="K77" s="1892"/>
      <c r="L77" s="1892"/>
      <c r="M77" s="1892"/>
      <c r="N77" s="1892"/>
      <c r="O77" s="1892"/>
      <c r="P77" s="1892"/>
      <c r="Q77" s="1887"/>
      <c r="R77" s="1887"/>
      <c r="S77" s="1887"/>
      <c r="T77" s="1887"/>
      <c r="U77" s="1887"/>
      <c r="V77" s="1887"/>
      <c r="W77" s="1887"/>
      <c r="X77" s="1887"/>
      <c r="Y77" s="1887"/>
      <c r="Z77" s="1891"/>
      <c r="AA77" s="1893"/>
      <c r="AB77" s="1887"/>
      <c r="AC77" s="1887"/>
      <c r="AD77" s="1887"/>
      <c r="AE77" s="1887"/>
      <c r="AF77" s="1887"/>
      <c r="AG77" s="1887"/>
      <c r="AH77" s="1887"/>
      <c r="AI77" s="1887"/>
      <c r="AJ77" s="1887"/>
      <c r="AK77" s="1887"/>
      <c r="AL77" s="1887"/>
      <c r="AM77" s="1887"/>
      <c r="AN77" s="1887"/>
      <c r="AO77" s="1888"/>
    </row>
    <row r="78" spans="2:41" ht="15" customHeight="1" x14ac:dyDescent="0.25">
      <c r="B78" s="1894"/>
      <c r="C78" s="1895"/>
      <c r="D78" s="1851" t="s">
        <v>1543</v>
      </c>
      <c r="E78" s="1851"/>
      <c r="F78" s="1851"/>
      <c r="G78" s="1851"/>
      <c r="H78" s="1851"/>
      <c r="I78" s="1851"/>
      <c r="J78" s="1851"/>
      <c r="K78" s="1851"/>
      <c r="L78" s="1851"/>
      <c r="M78" s="1851"/>
      <c r="N78" s="1851"/>
      <c r="O78" s="1851"/>
      <c r="P78" s="1851"/>
      <c r="Q78" s="1852" t="s">
        <v>1531</v>
      </c>
      <c r="R78" s="1852"/>
      <c r="S78" s="1852"/>
      <c r="T78" s="1852"/>
      <c r="U78" s="1852"/>
      <c r="V78" s="1852"/>
      <c r="W78" s="1852"/>
      <c r="X78" s="1852"/>
      <c r="Y78" s="1852"/>
      <c r="Z78" s="1852"/>
      <c r="AA78" s="1853" t="s">
        <v>1532</v>
      </c>
      <c r="AB78" s="1853"/>
      <c r="AC78" s="1853"/>
      <c r="AD78" s="1853"/>
      <c r="AE78" s="1853"/>
      <c r="AF78" s="1853"/>
      <c r="AG78" s="1853"/>
      <c r="AH78" s="1853"/>
      <c r="AI78" s="1853"/>
      <c r="AJ78" s="1853"/>
      <c r="AK78" s="1853" t="s">
        <v>1533</v>
      </c>
      <c r="AL78" s="1853"/>
      <c r="AM78" s="1853"/>
      <c r="AN78" s="1853"/>
      <c r="AO78" s="1854"/>
    </row>
    <row r="79" spans="2:41" x14ac:dyDescent="0.25">
      <c r="B79" s="533"/>
      <c r="C79" s="1898"/>
      <c r="D79" s="1898"/>
      <c r="E79" s="1857" t="s">
        <v>1548</v>
      </c>
      <c r="F79" s="1857"/>
      <c r="G79" s="1857"/>
      <c r="H79" s="1857"/>
      <c r="I79" s="1857"/>
      <c r="J79" s="1857"/>
      <c r="K79" s="1857"/>
      <c r="L79" s="1857"/>
      <c r="M79" s="1857"/>
      <c r="N79" s="1857"/>
      <c r="O79" s="1857"/>
      <c r="P79" s="1857"/>
      <c r="Q79" s="1878"/>
      <c r="R79" s="1878"/>
      <c r="S79" s="1878"/>
      <c r="T79" s="1878"/>
      <c r="U79" s="1878"/>
      <c r="V79" s="1878"/>
      <c r="W79" s="1878"/>
      <c r="X79" s="1878"/>
      <c r="Y79" s="1878"/>
      <c r="Z79" s="1879"/>
      <c r="AA79" s="1880"/>
      <c r="AB79" s="1878"/>
      <c r="AC79" s="1878"/>
      <c r="AD79" s="1878"/>
      <c r="AE79" s="1878"/>
      <c r="AF79" s="1878"/>
      <c r="AG79" s="1878"/>
      <c r="AH79" s="1878"/>
      <c r="AI79" s="1878"/>
      <c r="AJ79" s="1879"/>
      <c r="AK79" s="1880"/>
      <c r="AL79" s="1878"/>
      <c r="AM79" s="1878"/>
      <c r="AN79" s="1878"/>
      <c r="AO79" s="1881"/>
    </row>
    <row r="80" spans="2:41" x14ac:dyDescent="0.25">
      <c r="B80" s="533"/>
      <c r="C80" s="1898"/>
      <c r="D80" s="1898"/>
      <c r="E80" s="1857" t="s">
        <v>1549</v>
      </c>
      <c r="F80" s="1857"/>
      <c r="G80" s="1857"/>
      <c r="H80" s="1857"/>
      <c r="I80" s="1857"/>
      <c r="J80" s="1857"/>
      <c r="K80" s="1857"/>
      <c r="L80" s="1857"/>
      <c r="M80" s="1857"/>
      <c r="N80" s="1857"/>
      <c r="O80" s="1857"/>
      <c r="P80" s="1857"/>
      <c r="Q80" s="1896"/>
      <c r="R80" s="1896"/>
      <c r="S80" s="1896"/>
      <c r="T80" s="1896"/>
      <c r="U80" s="1896"/>
      <c r="V80" s="1896"/>
      <c r="W80" s="1896"/>
      <c r="X80" s="1896"/>
      <c r="Y80" s="1896"/>
      <c r="Z80" s="1897"/>
      <c r="AA80" s="1872"/>
      <c r="AB80" s="1872"/>
      <c r="AC80" s="1872"/>
      <c r="AD80" s="1872"/>
      <c r="AE80" s="1872"/>
      <c r="AF80" s="1872"/>
      <c r="AG80" s="1872"/>
      <c r="AH80" s="1872"/>
      <c r="AI80" s="1872"/>
      <c r="AJ80" s="1873"/>
      <c r="AK80" s="1872"/>
      <c r="AL80" s="1872"/>
      <c r="AM80" s="1872"/>
      <c r="AN80" s="1872"/>
      <c r="AO80" s="1874"/>
    </row>
    <row r="81" spans="2:41" x14ac:dyDescent="0.25">
      <c r="B81" s="533"/>
      <c r="C81" s="1898"/>
      <c r="D81" s="1898"/>
      <c r="E81" s="1857" t="s">
        <v>1550</v>
      </c>
      <c r="F81" s="1857"/>
      <c r="G81" s="1857"/>
      <c r="H81" s="1857"/>
      <c r="I81" s="1857"/>
      <c r="J81" s="1857"/>
      <c r="K81" s="1857"/>
      <c r="L81" s="1857"/>
      <c r="M81" s="1857"/>
      <c r="N81" s="1857"/>
      <c r="O81" s="1857"/>
      <c r="P81" s="1857"/>
      <c r="Q81" s="1896"/>
      <c r="R81" s="1896"/>
      <c r="S81" s="1896"/>
      <c r="T81" s="1896"/>
      <c r="U81" s="1896"/>
      <c r="V81" s="1896"/>
      <c r="W81" s="1896"/>
      <c r="X81" s="1896"/>
      <c r="Y81" s="1896"/>
      <c r="Z81" s="1897"/>
      <c r="AA81" s="1899"/>
      <c r="AB81" s="1896"/>
      <c r="AC81" s="1896"/>
      <c r="AD81" s="1896"/>
      <c r="AE81" s="1896"/>
      <c r="AF81" s="1896"/>
      <c r="AG81" s="1896"/>
      <c r="AH81" s="1896"/>
      <c r="AI81" s="1896"/>
      <c r="AJ81" s="1897"/>
      <c r="AK81" s="1900"/>
      <c r="AL81" s="1901"/>
      <c r="AM81" s="1901"/>
      <c r="AN81" s="1901"/>
      <c r="AO81" s="1902"/>
    </row>
    <row r="82" spans="2:41" x14ac:dyDescent="0.25">
      <c r="B82" s="532"/>
      <c r="C82" s="1898"/>
      <c r="D82" s="1898"/>
      <c r="E82" s="1868" t="s">
        <v>1551</v>
      </c>
      <c r="F82" s="1868"/>
      <c r="G82" s="1868"/>
      <c r="H82" s="1868"/>
      <c r="I82" s="1868"/>
      <c r="J82" s="1868"/>
      <c r="K82" s="1868"/>
      <c r="L82" s="1868"/>
      <c r="M82" s="1868"/>
      <c r="N82" s="1868"/>
      <c r="O82" s="1868"/>
      <c r="P82" s="1868"/>
      <c r="Q82" s="1872"/>
      <c r="R82" s="1872"/>
      <c r="S82" s="1872"/>
      <c r="T82" s="1872"/>
      <c r="U82" s="1872"/>
      <c r="V82" s="1872"/>
      <c r="W82" s="1872"/>
      <c r="X82" s="1872"/>
      <c r="Y82" s="1872"/>
      <c r="Z82" s="1873"/>
      <c r="AA82" s="1872"/>
      <c r="AB82" s="1872"/>
      <c r="AC82" s="1872"/>
      <c r="AD82" s="1872"/>
      <c r="AE82" s="1872"/>
      <c r="AF82" s="1872"/>
      <c r="AG82" s="1872"/>
      <c r="AH82" s="1872"/>
      <c r="AI82" s="1872"/>
      <c r="AJ82" s="1873"/>
      <c r="AK82" s="1900"/>
      <c r="AL82" s="1901"/>
      <c r="AM82" s="1901"/>
      <c r="AN82" s="1901"/>
      <c r="AO82" s="1902"/>
    </row>
    <row r="83" spans="2:41" x14ac:dyDescent="0.25">
      <c r="B83" s="1894"/>
      <c r="C83" s="1895"/>
      <c r="D83" s="1851" t="s">
        <v>1568</v>
      </c>
      <c r="E83" s="1851"/>
      <c r="F83" s="1851"/>
      <c r="G83" s="1851"/>
      <c r="H83" s="1851"/>
      <c r="I83" s="1851"/>
      <c r="J83" s="1851"/>
      <c r="K83" s="1851"/>
      <c r="L83" s="1851"/>
      <c r="M83" s="1851"/>
      <c r="N83" s="1851"/>
      <c r="O83" s="1851"/>
      <c r="P83" s="1851"/>
      <c r="Q83" s="1851"/>
      <c r="R83" s="1851"/>
      <c r="S83" s="1851"/>
      <c r="T83" s="1851"/>
      <c r="U83" s="1851"/>
      <c r="V83" s="1851"/>
      <c r="W83" s="1851"/>
      <c r="X83" s="1851"/>
      <c r="Y83" s="1851"/>
      <c r="Z83" s="1851"/>
      <c r="AA83" s="1851"/>
      <c r="AB83" s="1851"/>
      <c r="AC83" s="1851"/>
      <c r="AD83" s="1851"/>
      <c r="AE83" s="1851"/>
      <c r="AF83" s="1851"/>
      <c r="AG83" s="1851"/>
      <c r="AH83" s="1851"/>
      <c r="AI83" s="1851"/>
      <c r="AJ83" s="1851"/>
      <c r="AK83" s="1851"/>
      <c r="AL83" s="1851"/>
      <c r="AM83" s="1851"/>
      <c r="AN83" s="1851"/>
      <c r="AO83" s="1875"/>
    </row>
    <row r="84" spans="2:41" x14ac:dyDescent="0.25">
      <c r="B84" s="533"/>
      <c r="C84" s="1898"/>
      <c r="D84" s="1898"/>
      <c r="E84" s="1857" t="s">
        <v>1552</v>
      </c>
      <c r="F84" s="1857"/>
      <c r="G84" s="1857"/>
      <c r="H84" s="1857"/>
      <c r="I84" s="1857"/>
      <c r="J84" s="1857"/>
      <c r="K84" s="1857"/>
      <c r="L84" s="1857"/>
      <c r="M84" s="1857"/>
      <c r="N84" s="1857"/>
      <c r="O84" s="1857"/>
      <c r="P84" s="1857"/>
      <c r="Q84" s="1872"/>
      <c r="R84" s="1872"/>
      <c r="S84" s="1872"/>
      <c r="T84" s="1872"/>
      <c r="U84" s="1872"/>
      <c r="V84" s="1872"/>
      <c r="W84" s="1872"/>
      <c r="X84" s="1872"/>
      <c r="Y84" s="1872"/>
      <c r="Z84" s="1873"/>
      <c r="AA84" s="1880"/>
      <c r="AB84" s="1878"/>
      <c r="AC84" s="1878"/>
      <c r="AD84" s="1878"/>
      <c r="AE84" s="1878"/>
      <c r="AF84" s="1878"/>
      <c r="AG84" s="1878"/>
      <c r="AH84" s="1878"/>
      <c r="AI84" s="1878"/>
      <c r="AJ84" s="1879"/>
      <c r="AK84" s="1880"/>
      <c r="AL84" s="1878"/>
      <c r="AM84" s="1878"/>
      <c r="AN84" s="1878"/>
      <c r="AO84" s="1881"/>
    </row>
    <row r="85" spans="2:41" x14ac:dyDescent="0.25">
      <c r="B85" s="532"/>
      <c r="C85" s="1898"/>
      <c r="D85" s="1898"/>
      <c r="E85" s="1868" t="s">
        <v>1553</v>
      </c>
      <c r="F85" s="1868"/>
      <c r="G85" s="1868"/>
      <c r="H85" s="1868"/>
      <c r="I85" s="1868"/>
      <c r="J85" s="1868"/>
      <c r="K85" s="1868"/>
      <c r="L85" s="1868"/>
      <c r="M85" s="1868"/>
      <c r="N85" s="1868"/>
      <c r="O85" s="1868"/>
      <c r="P85" s="1868"/>
      <c r="Q85" s="1901"/>
      <c r="R85" s="1901"/>
      <c r="S85" s="1901"/>
      <c r="T85" s="1901"/>
      <c r="U85" s="1901"/>
      <c r="V85" s="1901"/>
      <c r="W85" s="1901"/>
      <c r="X85" s="1901"/>
      <c r="Y85" s="1901"/>
      <c r="Z85" s="1903"/>
      <c r="AA85" s="1872"/>
      <c r="AB85" s="1872"/>
      <c r="AC85" s="1872"/>
      <c r="AD85" s="1872"/>
      <c r="AE85" s="1872"/>
      <c r="AF85" s="1872"/>
      <c r="AG85" s="1872"/>
      <c r="AH85" s="1872"/>
      <c r="AI85" s="1872"/>
      <c r="AJ85" s="1873"/>
      <c r="AK85" s="1872"/>
      <c r="AL85" s="1872"/>
      <c r="AM85" s="1872"/>
      <c r="AN85" s="1872"/>
      <c r="AO85" s="1874"/>
    </row>
    <row r="86" spans="2:41" x14ac:dyDescent="0.25">
      <c r="B86" s="1894"/>
      <c r="C86" s="1895"/>
      <c r="D86" s="1851" t="s">
        <v>1558</v>
      </c>
      <c r="E86" s="1851"/>
      <c r="F86" s="1851"/>
      <c r="G86" s="1851"/>
      <c r="H86" s="1851"/>
      <c r="I86" s="1851"/>
      <c r="J86" s="1851"/>
      <c r="K86" s="1851"/>
      <c r="L86" s="1851"/>
      <c r="M86" s="1851"/>
      <c r="N86" s="1851"/>
      <c r="O86" s="1851"/>
      <c r="P86" s="1851"/>
      <c r="Q86" s="1851"/>
      <c r="R86" s="1851"/>
      <c r="S86" s="1851"/>
      <c r="T86" s="1851"/>
      <c r="U86" s="1851"/>
      <c r="V86" s="1851"/>
      <c r="W86" s="1851"/>
      <c r="X86" s="1851"/>
      <c r="Y86" s="1851"/>
      <c r="Z86" s="1851"/>
      <c r="AA86" s="1851"/>
      <c r="AB86" s="1851"/>
      <c r="AC86" s="1851"/>
      <c r="AD86" s="1851"/>
      <c r="AE86" s="1851"/>
      <c r="AF86" s="1851"/>
      <c r="AG86" s="1851"/>
      <c r="AH86" s="1851"/>
      <c r="AI86" s="1851"/>
      <c r="AJ86" s="1851"/>
      <c r="AK86" s="1851"/>
      <c r="AL86" s="1851"/>
      <c r="AM86" s="1851"/>
      <c r="AN86" s="1851"/>
      <c r="AO86" s="1875"/>
    </row>
    <row r="87" spans="2:41" x14ac:dyDescent="0.25">
      <c r="B87" s="533"/>
      <c r="C87" s="1898"/>
      <c r="D87" s="1898"/>
      <c r="E87" s="1857" t="s">
        <v>1554</v>
      </c>
      <c r="F87" s="1857"/>
      <c r="G87" s="1857"/>
      <c r="H87" s="1857"/>
      <c r="I87" s="1857"/>
      <c r="J87" s="1857"/>
      <c r="K87" s="1857"/>
      <c r="L87" s="1857"/>
      <c r="M87" s="1857"/>
      <c r="N87" s="1857"/>
      <c r="O87" s="1857"/>
      <c r="P87" s="1857"/>
      <c r="Q87" s="1878"/>
      <c r="R87" s="1878"/>
      <c r="S87" s="1878"/>
      <c r="T87" s="1878"/>
      <c r="U87" s="1878"/>
      <c r="V87" s="1878"/>
      <c r="W87" s="1878"/>
      <c r="X87" s="1878"/>
      <c r="Y87" s="1878"/>
      <c r="Z87" s="1879"/>
      <c r="AA87" s="1880"/>
      <c r="AB87" s="1878"/>
      <c r="AC87" s="1878"/>
      <c r="AD87" s="1878"/>
      <c r="AE87" s="1878"/>
      <c r="AF87" s="1878"/>
      <c r="AG87" s="1878"/>
      <c r="AH87" s="1878"/>
      <c r="AI87" s="1878"/>
      <c r="AJ87" s="1879"/>
      <c r="AK87" s="1880"/>
      <c r="AL87" s="1878"/>
      <c r="AM87" s="1878"/>
      <c r="AN87" s="1878"/>
      <c r="AO87" s="1881"/>
    </row>
    <row r="88" spans="2:41" x14ac:dyDescent="0.25">
      <c r="B88" s="533"/>
      <c r="C88" s="1904"/>
      <c r="D88" s="1904"/>
      <c r="E88" s="1857" t="s">
        <v>1555</v>
      </c>
      <c r="F88" s="1857"/>
      <c r="G88" s="1857"/>
      <c r="H88" s="1857"/>
      <c r="I88" s="1857"/>
      <c r="J88" s="1857"/>
      <c r="K88" s="1857"/>
      <c r="L88" s="1857"/>
      <c r="M88" s="1857"/>
      <c r="N88" s="1857"/>
      <c r="O88" s="1857"/>
      <c r="P88" s="1857"/>
      <c r="Q88" s="1896"/>
      <c r="R88" s="1896"/>
      <c r="S88" s="1896"/>
      <c r="T88" s="1896"/>
      <c r="U88" s="1896"/>
      <c r="V88" s="1896"/>
      <c r="W88" s="1896"/>
      <c r="X88" s="1896"/>
      <c r="Y88" s="1896"/>
      <c r="Z88" s="1897"/>
      <c r="AA88" s="1899"/>
      <c r="AB88" s="1896"/>
      <c r="AC88" s="1896"/>
      <c r="AD88" s="1896"/>
      <c r="AE88" s="1896"/>
      <c r="AF88" s="1896"/>
      <c r="AG88" s="1896"/>
      <c r="AH88" s="1896"/>
      <c r="AI88" s="1896"/>
      <c r="AJ88" s="1897"/>
      <c r="AK88" s="1872"/>
      <c r="AL88" s="1872"/>
      <c r="AM88" s="1872"/>
      <c r="AN88" s="1872"/>
      <c r="AO88" s="1874"/>
    </row>
    <row r="89" spans="2:41" x14ac:dyDescent="0.25">
      <c r="B89" s="534"/>
      <c r="C89" s="1908"/>
      <c r="D89" s="1908"/>
      <c r="E89" s="1857" t="s">
        <v>1556</v>
      </c>
      <c r="F89" s="1857"/>
      <c r="G89" s="1857"/>
      <c r="H89" s="1857"/>
      <c r="I89" s="1857"/>
      <c r="J89" s="1857"/>
      <c r="K89" s="1857"/>
      <c r="L89" s="1857"/>
      <c r="M89" s="1857"/>
      <c r="N89" s="1857"/>
      <c r="O89" s="1857"/>
      <c r="P89" s="1857"/>
      <c r="Q89" s="1896"/>
      <c r="R89" s="1896"/>
      <c r="S89" s="1896"/>
      <c r="T89" s="1896"/>
      <c r="U89" s="1896"/>
      <c r="V89" s="1896"/>
      <c r="W89" s="1896"/>
      <c r="X89" s="1896"/>
      <c r="Y89" s="1896"/>
      <c r="Z89" s="1897"/>
      <c r="AA89" s="1872"/>
      <c r="AB89" s="1872"/>
      <c r="AC89" s="1872"/>
      <c r="AD89" s="1872"/>
      <c r="AE89" s="1872"/>
      <c r="AF89" s="1872"/>
      <c r="AG89" s="1872"/>
      <c r="AH89" s="1872"/>
      <c r="AI89" s="1872"/>
      <c r="AJ89" s="1873"/>
      <c r="AK89" s="1899"/>
      <c r="AL89" s="1896"/>
      <c r="AM89" s="1896"/>
      <c r="AN89" s="1896"/>
      <c r="AO89" s="1907"/>
    </row>
    <row r="90" spans="2:41" x14ac:dyDescent="0.25">
      <c r="B90" s="531"/>
      <c r="C90" s="1909"/>
      <c r="D90" s="1909"/>
      <c r="E90" s="1868" t="s">
        <v>1557</v>
      </c>
      <c r="F90" s="1868"/>
      <c r="G90" s="1868"/>
      <c r="H90" s="1868"/>
      <c r="I90" s="1868"/>
      <c r="J90" s="1868"/>
      <c r="K90" s="1868"/>
      <c r="L90" s="1868"/>
      <c r="M90" s="1868"/>
      <c r="N90" s="1868"/>
      <c r="O90" s="1868"/>
      <c r="P90" s="1868"/>
      <c r="Q90" s="1872"/>
      <c r="R90" s="1872"/>
      <c r="S90" s="1872"/>
      <c r="T90" s="1872"/>
      <c r="U90" s="1872"/>
      <c r="V90" s="1872"/>
      <c r="W90" s="1872"/>
      <c r="X90" s="1872"/>
      <c r="Y90" s="1872"/>
      <c r="Z90" s="1873"/>
      <c r="AA90" s="1900"/>
      <c r="AB90" s="1901"/>
      <c r="AC90" s="1901"/>
      <c r="AD90" s="1901"/>
      <c r="AE90" s="1901"/>
      <c r="AF90" s="1901"/>
      <c r="AG90" s="1901"/>
      <c r="AH90" s="1901"/>
      <c r="AI90" s="1901"/>
      <c r="AJ90" s="1903"/>
      <c r="AK90" s="1872"/>
      <c r="AL90" s="1872"/>
      <c r="AM90" s="1872"/>
      <c r="AN90" s="1872"/>
      <c r="AO90" s="1874"/>
    </row>
    <row r="91" spans="2:41" x14ac:dyDescent="0.25">
      <c r="B91" s="1905"/>
      <c r="C91" s="1906"/>
      <c r="D91" s="1851" t="s">
        <v>1575</v>
      </c>
      <c r="E91" s="1851"/>
      <c r="F91" s="1851"/>
      <c r="G91" s="1851"/>
      <c r="H91" s="1851"/>
      <c r="I91" s="1851"/>
      <c r="J91" s="1851"/>
      <c r="K91" s="1851"/>
      <c r="L91" s="1851"/>
      <c r="M91" s="1851"/>
      <c r="N91" s="1851"/>
      <c r="O91" s="1851"/>
      <c r="P91" s="1851"/>
      <c r="Q91" s="1851"/>
      <c r="R91" s="1851"/>
      <c r="S91" s="1851"/>
      <c r="T91" s="1851"/>
      <c r="U91" s="1851"/>
      <c r="V91" s="1851"/>
      <c r="W91" s="1851"/>
      <c r="X91" s="1851"/>
      <c r="Y91" s="1851"/>
      <c r="Z91" s="1851"/>
      <c r="AA91" s="1851"/>
      <c r="AB91" s="1851"/>
      <c r="AC91" s="1851"/>
      <c r="AD91" s="1851"/>
      <c r="AE91" s="1851"/>
      <c r="AF91" s="1851"/>
      <c r="AG91" s="1851"/>
      <c r="AH91" s="1851"/>
      <c r="AI91" s="1851"/>
      <c r="AJ91" s="1851"/>
      <c r="AK91" s="1851"/>
      <c r="AL91" s="1851"/>
      <c r="AM91" s="1851"/>
      <c r="AN91" s="1851"/>
      <c r="AO91" s="1875"/>
    </row>
    <row r="92" spans="2:41" x14ac:dyDescent="0.25">
      <c r="B92" s="534"/>
      <c r="C92" s="1908"/>
      <c r="D92" s="1908"/>
      <c r="E92" s="1857" t="s">
        <v>1576</v>
      </c>
      <c r="F92" s="1857"/>
      <c r="G92" s="1857"/>
      <c r="H92" s="1857"/>
      <c r="I92" s="1857"/>
      <c r="J92" s="1857"/>
      <c r="K92" s="1857"/>
      <c r="L92" s="1857"/>
      <c r="M92" s="1857"/>
      <c r="N92" s="1857"/>
      <c r="O92" s="1857"/>
      <c r="P92" s="1857"/>
      <c r="Q92" s="1878"/>
      <c r="R92" s="1878"/>
      <c r="S92" s="1878"/>
      <c r="T92" s="1878"/>
      <c r="U92" s="1878"/>
      <c r="V92" s="1878"/>
      <c r="W92" s="1878"/>
      <c r="X92" s="1878"/>
      <c r="Y92" s="1878"/>
      <c r="Z92" s="1879"/>
      <c r="AA92" s="1880"/>
      <c r="AB92" s="1878"/>
      <c r="AC92" s="1878"/>
      <c r="AD92" s="1878"/>
      <c r="AE92" s="1878"/>
      <c r="AF92" s="1878"/>
      <c r="AG92" s="1878"/>
      <c r="AH92" s="1878"/>
      <c r="AI92" s="1878"/>
      <c r="AJ92" s="1879"/>
      <c r="AK92" s="1880"/>
      <c r="AL92" s="1878"/>
      <c r="AM92" s="1878"/>
      <c r="AN92" s="1878"/>
      <c r="AO92" s="1881"/>
    </row>
    <row r="93" spans="2:41" x14ac:dyDescent="0.25">
      <c r="B93" s="534"/>
      <c r="C93" s="1908"/>
      <c r="D93" s="1908"/>
      <c r="E93" s="1857" t="s">
        <v>1561</v>
      </c>
      <c r="F93" s="1857"/>
      <c r="G93" s="1857"/>
      <c r="H93" s="1857"/>
      <c r="I93" s="1857"/>
      <c r="J93" s="1857"/>
      <c r="K93" s="1857"/>
      <c r="L93" s="1857"/>
      <c r="M93" s="1857"/>
      <c r="N93" s="1857"/>
      <c r="O93" s="1857"/>
      <c r="P93" s="1857"/>
      <c r="Q93" s="1896"/>
      <c r="R93" s="1896"/>
      <c r="S93" s="1896"/>
      <c r="T93" s="1896"/>
      <c r="U93" s="1896"/>
      <c r="V93" s="1896"/>
      <c r="W93" s="1896"/>
      <c r="X93" s="1896"/>
      <c r="Y93" s="1896"/>
      <c r="Z93" s="1897"/>
      <c r="AA93" s="1899"/>
      <c r="AB93" s="1896"/>
      <c r="AC93" s="1896"/>
      <c r="AD93" s="1896"/>
      <c r="AE93" s="1896"/>
      <c r="AF93" s="1896"/>
      <c r="AG93" s="1896"/>
      <c r="AH93" s="1896"/>
      <c r="AI93" s="1896"/>
      <c r="AJ93" s="1897"/>
      <c r="AK93" s="1899"/>
      <c r="AL93" s="1896"/>
      <c r="AM93" s="1896"/>
      <c r="AN93" s="1896"/>
      <c r="AO93" s="1907"/>
    </row>
    <row r="94" spans="2:41" x14ac:dyDescent="0.25">
      <c r="B94" s="531"/>
      <c r="C94" s="1909"/>
      <c r="D94" s="1909"/>
      <c r="E94" s="1868" t="s">
        <v>1562</v>
      </c>
      <c r="F94" s="1868"/>
      <c r="G94" s="1868"/>
      <c r="H94" s="1868"/>
      <c r="I94" s="1868"/>
      <c r="J94" s="1868"/>
      <c r="K94" s="1868"/>
      <c r="L94" s="1868"/>
      <c r="M94" s="1868"/>
      <c r="N94" s="1868"/>
      <c r="O94" s="1868"/>
      <c r="P94" s="1868"/>
      <c r="Q94" s="1872"/>
      <c r="R94" s="1872"/>
      <c r="S94" s="1872"/>
      <c r="T94" s="1872"/>
      <c r="U94" s="1872"/>
      <c r="V94" s="1872"/>
      <c r="W94" s="1872"/>
      <c r="X94" s="1872"/>
      <c r="Y94" s="1872"/>
      <c r="Z94" s="1873"/>
      <c r="AA94" s="1872"/>
      <c r="AB94" s="1872"/>
      <c r="AC94" s="1872"/>
      <c r="AD94" s="1872"/>
      <c r="AE94" s="1872"/>
      <c r="AF94" s="1872"/>
      <c r="AG94" s="1872"/>
      <c r="AH94" s="1872"/>
      <c r="AI94" s="1872"/>
      <c r="AJ94" s="1873"/>
      <c r="AK94" s="1872"/>
      <c r="AL94" s="1872"/>
      <c r="AM94" s="1872"/>
      <c r="AN94" s="1872"/>
      <c r="AO94" s="1874"/>
    </row>
    <row r="95" spans="2:41" x14ac:dyDescent="0.25">
      <c r="B95" s="1894"/>
      <c r="C95" s="1895"/>
      <c r="D95" s="1851" t="s">
        <v>1560</v>
      </c>
      <c r="E95" s="1910"/>
      <c r="F95" s="1910"/>
      <c r="G95" s="1910"/>
      <c r="H95" s="1910"/>
      <c r="I95" s="1910"/>
      <c r="J95" s="1910"/>
      <c r="K95" s="1910"/>
      <c r="L95" s="1910"/>
      <c r="M95" s="1910"/>
      <c r="N95" s="1910"/>
      <c r="O95" s="1910"/>
      <c r="P95" s="1910"/>
      <c r="Q95" s="522"/>
      <c r="R95" s="522"/>
      <c r="S95" s="522"/>
      <c r="T95" s="1853" t="s">
        <v>1563</v>
      </c>
      <c r="U95" s="1853"/>
      <c r="V95" s="1853"/>
      <c r="W95" s="1853"/>
      <c r="X95" s="1853"/>
      <c r="Y95" s="1853"/>
      <c r="Z95" s="1853"/>
      <c r="AA95" s="1853"/>
      <c r="AB95" s="1853"/>
      <c r="AC95" s="1853"/>
      <c r="AD95" s="1853"/>
      <c r="AE95" s="1853" t="s">
        <v>1564</v>
      </c>
      <c r="AF95" s="1853"/>
      <c r="AG95" s="1853"/>
      <c r="AH95" s="1853"/>
      <c r="AI95" s="1853"/>
      <c r="AJ95" s="1853"/>
      <c r="AK95" s="1853"/>
      <c r="AL95" s="1853"/>
      <c r="AM95" s="1853"/>
      <c r="AN95" s="1853"/>
      <c r="AO95" s="1854"/>
    </row>
    <row r="96" spans="2:41" x14ac:dyDescent="0.25">
      <c r="B96" s="533"/>
      <c r="C96" s="1904"/>
      <c r="D96" s="1904"/>
      <c r="E96" s="1911" t="s">
        <v>1559</v>
      </c>
      <c r="F96" s="1911"/>
      <c r="G96" s="1911"/>
      <c r="H96" s="1911"/>
      <c r="I96" s="1911"/>
      <c r="J96" s="1911"/>
      <c r="K96" s="1911"/>
      <c r="L96" s="1911"/>
      <c r="M96" s="1911"/>
      <c r="N96" s="1911"/>
      <c r="O96" s="1911"/>
      <c r="P96" s="1911"/>
      <c r="Q96" s="1911"/>
      <c r="R96" s="1911"/>
      <c r="S96" s="1911"/>
      <c r="T96" s="1878"/>
      <c r="U96" s="1878"/>
      <c r="V96" s="1878"/>
      <c r="W96" s="1878"/>
      <c r="X96" s="1878"/>
      <c r="Y96" s="1878"/>
      <c r="Z96" s="1878"/>
      <c r="AA96" s="1878"/>
      <c r="AB96" s="1878"/>
      <c r="AC96" s="1878"/>
      <c r="AD96" s="1879"/>
      <c r="AE96" s="1872"/>
      <c r="AF96" s="1872"/>
      <c r="AG96" s="1872"/>
      <c r="AH96" s="1872"/>
      <c r="AI96" s="1872"/>
      <c r="AJ96" s="1872"/>
      <c r="AK96" s="1872"/>
      <c r="AL96" s="1872"/>
      <c r="AM96" s="1872"/>
      <c r="AN96" s="1872"/>
      <c r="AO96" s="1874"/>
    </row>
    <row r="97" spans="2:41" x14ac:dyDescent="0.25">
      <c r="B97" s="531"/>
      <c r="C97" s="1909"/>
      <c r="D97" s="1909"/>
      <c r="E97" s="1912" t="s">
        <v>1540</v>
      </c>
      <c r="F97" s="1912"/>
      <c r="G97" s="1912"/>
      <c r="H97" s="1912"/>
      <c r="I97" s="1912"/>
      <c r="J97" s="1912"/>
      <c r="K97" s="1912"/>
      <c r="L97" s="1912"/>
      <c r="M97" s="1912"/>
      <c r="N97" s="1912"/>
      <c r="O97" s="1912"/>
      <c r="P97" s="1912"/>
      <c r="Q97" s="1912"/>
      <c r="R97" s="1912"/>
      <c r="S97" s="1912"/>
      <c r="T97" s="1872"/>
      <c r="U97" s="1872"/>
      <c r="V97" s="1872"/>
      <c r="W97" s="1872"/>
      <c r="X97" s="1872"/>
      <c r="Y97" s="1872"/>
      <c r="Z97" s="1872"/>
      <c r="AA97" s="1872"/>
      <c r="AB97" s="1872"/>
      <c r="AC97" s="1872"/>
      <c r="AD97" s="1873"/>
      <c r="AE97" s="1900"/>
      <c r="AF97" s="1901"/>
      <c r="AG97" s="1901"/>
      <c r="AH97" s="1901"/>
      <c r="AI97" s="1901"/>
      <c r="AJ97" s="1901"/>
      <c r="AK97" s="1901"/>
      <c r="AL97" s="1901"/>
      <c r="AM97" s="1901"/>
      <c r="AN97" s="1901"/>
      <c r="AO97" s="1902"/>
    </row>
    <row r="98" spans="2:41" ht="15" customHeight="1" x14ac:dyDescent="0.25">
      <c r="B98" s="1894"/>
      <c r="C98" s="1895"/>
      <c r="D98" s="1913" t="s">
        <v>1761</v>
      </c>
      <c r="E98" s="1913"/>
      <c r="F98" s="1913"/>
      <c r="G98" s="1913"/>
      <c r="H98" s="1913"/>
      <c r="I98" s="1913"/>
      <c r="J98" s="1913"/>
      <c r="K98" s="1913"/>
      <c r="L98" s="1913"/>
      <c r="M98" s="1913"/>
      <c r="N98" s="1913"/>
      <c r="O98" s="1913"/>
      <c r="P98" s="1913"/>
      <c r="Q98" s="1914" t="s">
        <v>1565</v>
      </c>
      <c r="R98" s="1914"/>
      <c r="S98" s="1914"/>
      <c r="T98" s="1914"/>
      <c r="U98" s="1914"/>
      <c r="V98" s="1914"/>
      <c r="W98" s="1914"/>
      <c r="X98" s="1914"/>
      <c r="Y98" s="1914"/>
      <c r="Z98" s="1914"/>
      <c r="AA98" s="1853" t="s">
        <v>1532</v>
      </c>
      <c r="AB98" s="1853"/>
      <c r="AC98" s="1853"/>
      <c r="AD98" s="1853"/>
      <c r="AE98" s="1853"/>
      <c r="AF98" s="1853"/>
      <c r="AG98" s="1853"/>
      <c r="AH98" s="1853"/>
      <c r="AI98" s="1853"/>
      <c r="AJ98" s="1853"/>
      <c r="AK98" s="1853" t="s">
        <v>1533</v>
      </c>
      <c r="AL98" s="1853"/>
      <c r="AM98" s="1853"/>
      <c r="AN98" s="1853"/>
      <c r="AO98" s="1854"/>
    </row>
    <row r="99" spans="2:41" x14ac:dyDescent="0.25">
      <c r="B99" s="533"/>
      <c r="C99" s="1898"/>
      <c r="D99" s="1898"/>
      <c r="E99" s="1915"/>
      <c r="F99" s="1915"/>
      <c r="G99" s="1915"/>
      <c r="H99" s="1915"/>
      <c r="I99" s="1915"/>
      <c r="J99" s="1915"/>
      <c r="K99" s="1915"/>
      <c r="L99" s="1915"/>
      <c r="M99" s="1915"/>
      <c r="N99" s="1915"/>
      <c r="O99" s="1915"/>
      <c r="P99" s="1915"/>
      <c r="Q99" s="1896"/>
      <c r="R99" s="1896"/>
      <c r="S99" s="1896"/>
      <c r="T99" s="1896"/>
      <c r="U99" s="1896"/>
      <c r="V99" s="1896"/>
      <c r="W99" s="1896"/>
      <c r="X99" s="1896"/>
      <c r="Y99" s="1896"/>
      <c r="Z99" s="1897"/>
      <c r="AA99" s="1880"/>
      <c r="AB99" s="1878"/>
      <c r="AC99" s="1878"/>
      <c r="AD99" s="1878"/>
      <c r="AE99" s="1878"/>
      <c r="AF99" s="1878"/>
      <c r="AG99" s="1878"/>
      <c r="AH99" s="1878"/>
      <c r="AI99" s="1878"/>
      <c r="AJ99" s="1879"/>
      <c r="AK99" s="1880"/>
      <c r="AL99" s="1878"/>
      <c r="AM99" s="1878"/>
      <c r="AN99" s="1878"/>
      <c r="AO99" s="1881"/>
    </row>
    <row r="100" spans="2:41" x14ac:dyDescent="0.25">
      <c r="B100" s="533"/>
      <c r="C100" s="1898"/>
      <c r="D100" s="1898"/>
      <c r="E100" s="1916"/>
      <c r="F100" s="1916"/>
      <c r="G100" s="1916"/>
      <c r="H100" s="1916"/>
      <c r="I100" s="1916"/>
      <c r="J100" s="1916"/>
      <c r="K100" s="1916"/>
      <c r="L100" s="1916"/>
      <c r="M100" s="1916"/>
      <c r="N100" s="1916"/>
      <c r="O100" s="1916"/>
      <c r="P100" s="1916"/>
      <c r="Q100" s="1872"/>
      <c r="R100" s="1872"/>
      <c r="S100" s="1872"/>
      <c r="T100" s="1872"/>
      <c r="U100" s="1872"/>
      <c r="V100" s="1872"/>
      <c r="W100" s="1872"/>
      <c r="X100" s="1872"/>
      <c r="Y100" s="1872"/>
      <c r="Z100" s="1873"/>
      <c r="AA100" s="1899"/>
      <c r="AB100" s="1896"/>
      <c r="AC100" s="1896"/>
      <c r="AD100" s="1896"/>
      <c r="AE100" s="1896"/>
      <c r="AF100" s="1896"/>
      <c r="AG100" s="1896"/>
      <c r="AH100" s="1896"/>
      <c r="AI100" s="1896"/>
      <c r="AJ100" s="1897"/>
      <c r="AK100" s="1899"/>
      <c r="AL100" s="1896"/>
      <c r="AM100" s="1896"/>
      <c r="AN100" s="1896"/>
      <c r="AO100" s="1907"/>
    </row>
    <row r="101" spans="2:41" x14ac:dyDescent="0.25">
      <c r="B101" s="533"/>
      <c r="C101" s="1898"/>
      <c r="D101" s="1898"/>
      <c r="E101" s="1915"/>
      <c r="F101" s="1915"/>
      <c r="G101" s="1915"/>
      <c r="H101" s="1915"/>
      <c r="I101" s="1915"/>
      <c r="J101" s="1915"/>
      <c r="K101" s="1915"/>
      <c r="L101" s="1915"/>
      <c r="M101" s="1915"/>
      <c r="N101" s="1915"/>
      <c r="O101" s="1915"/>
      <c r="P101" s="1915"/>
      <c r="Q101" s="1896"/>
      <c r="R101" s="1896"/>
      <c r="S101" s="1896"/>
      <c r="T101" s="1896"/>
      <c r="U101" s="1896"/>
      <c r="V101" s="1896"/>
      <c r="W101" s="1896"/>
      <c r="X101" s="1896"/>
      <c r="Y101" s="1896"/>
      <c r="Z101" s="1897"/>
      <c r="AA101" s="1899"/>
      <c r="AB101" s="1896"/>
      <c r="AC101" s="1896"/>
      <c r="AD101" s="1896"/>
      <c r="AE101" s="1896"/>
      <c r="AF101" s="1896"/>
      <c r="AG101" s="1896"/>
      <c r="AH101" s="1896"/>
      <c r="AI101" s="1896"/>
      <c r="AJ101" s="1897"/>
      <c r="AK101" s="1872"/>
      <c r="AL101" s="1872"/>
      <c r="AM101" s="1872"/>
      <c r="AN101" s="1872"/>
      <c r="AO101" s="1874"/>
    </row>
    <row r="102" spans="2:41" x14ac:dyDescent="0.25">
      <c r="B102" s="533"/>
      <c r="C102" s="1898"/>
      <c r="D102" s="1898"/>
      <c r="E102" s="1916"/>
      <c r="F102" s="1916"/>
      <c r="G102" s="1916"/>
      <c r="H102" s="1916"/>
      <c r="I102" s="1916"/>
      <c r="J102" s="1916"/>
      <c r="K102" s="1916"/>
      <c r="L102" s="1916"/>
      <c r="M102" s="1916"/>
      <c r="N102" s="1916"/>
      <c r="O102" s="1916"/>
      <c r="P102" s="1916"/>
      <c r="Q102" s="1896"/>
      <c r="R102" s="1896"/>
      <c r="S102" s="1896"/>
      <c r="T102" s="1896"/>
      <c r="U102" s="1896"/>
      <c r="V102" s="1896"/>
      <c r="W102" s="1896"/>
      <c r="X102" s="1896"/>
      <c r="Y102" s="1896"/>
      <c r="Z102" s="1897"/>
      <c r="AA102" s="1899"/>
      <c r="AB102" s="1896"/>
      <c r="AC102" s="1896"/>
      <c r="AD102" s="1896"/>
      <c r="AE102" s="1896"/>
      <c r="AF102" s="1896"/>
      <c r="AG102" s="1896"/>
      <c r="AH102" s="1896"/>
      <c r="AI102" s="1896"/>
      <c r="AJ102" s="1897"/>
      <c r="AK102" s="1899"/>
      <c r="AL102" s="1896"/>
      <c r="AM102" s="1896"/>
      <c r="AN102" s="1896"/>
      <c r="AO102" s="1907"/>
    </row>
    <row r="103" spans="2:41" x14ac:dyDescent="0.25">
      <c r="B103" s="533"/>
      <c r="C103" s="1898"/>
      <c r="D103" s="1898"/>
      <c r="E103" s="1917"/>
      <c r="F103" s="1917"/>
      <c r="G103" s="1917"/>
      <c r="H103" s="1917"/>
      <c r="I103" s="1917"/>
      <c r="J103" s="1917"/>
      <c r="K103" s="1917"/>
      <c r="L103" s="1917"/>
      <c r="M103" s="1917"/>
      <c r="N103" s="1917"/>
      <c r="O103" s="1917"/>
      <c r="P103" s="1917"/>
      <c r="Q103" s="1896"/>
      <c r="R103" s="1896"/>
      <c r="S103" s="1896"/>
      <c r="T103" s="1896"/>
      <c r="U103" s="1896"/>
      <c r="V103" s="1896"/>
      <c r="W103" s="1896"/>
      <c r="X103" s="1896"/>
      <c r="Y103" s="1896"/>
      <c r="Z103" s="1897"/>
      <c r="AA103" s="1899"/>
      <c r="AB103" s="1896"/>
      <c r="AC103" s="1896"/>
      <c r="AD103" s="1896"/>
      <c r="AE103" s="1896"/>
      <c r="AF103" s="1896"/>
      <c r="AG103" s="1896"/>
      <c r="AH103" s="1896"/>
      <c r="AI103" s="1896"/>
      <c r="AJ103" s="1897"/>
      <c r="AK103" s="1899"/>
      <c r="AL103" s="1896"/>
      <c r="AM103" s="1896"/>
      <c r="AN103" s="1896"/>
      <c r="AO103" s="1907"/>
    </row>
    <row r="104" spans="2:41" ht="15.75" thickBot="1" x14ac:dyDescent="0.3">
      <c r="B104" s="535"/>
      <c r="C104" s="1922"/>
      <c r="D104" s="1922"/>
      <c r="E104" s="1918"/>
      <c r="F104" s="1918"/>
      <c r="G104" s="1918"/>
      <c r="H104" s="1918"/>
      <c r="I104" s="1918"/>
      <c r="J104" s="1918"/>
      <c r="K104" s="1918"/>
      <c r="L104" s="1918"/>
      <c r="M104" s="1918"/>
      <c r="N104" s="1918"/>
      <c r="O104" s="1918"/>
      <c r="P104" s="1918"/>
      <c r="Q104" s="1919"/>
      <c r="R104" s="1919"/>
      <c r="S104" s="1919"/>
      <c r="T104" s="1919"/>
      <c r="U104" s="1919"/>
      <c r="V104" s="1919"/>
      <c r="W104" s="1919"/>
      <c r="X104" s="1919"/>
      <c r="Y104" s="1919"/>
      <c r="Z104" s="1920"/>
      <c r="AA104" s="1919"/>
      <c r="AB104" s="1919"/>
      <c r="AC104" s="1919"/>
      <c r="AD104" s="1919"/>
      <c r="AE104" s="1919"/>
      <c r="AF104" s="1919"/>
      <c r="AG104" s="1919"/>
      <c r="AH104" s="1919"/>
      <c r="AI104" s="1919"/>
      <c r="AJ104" s="1920"/>
      <c r="AK104" s="1919"/>
      <c r="AL104" s="1919"/>
      <c r="AM104" s="1919"/>
      <c r="AN104" s="1919"/>
      <c r="AO104" s="1921"/>
    </row>
    <row r="105" spans="2:41" ht="3.6" customHeight="1" thickBot="1" x14ac:dyDescent="0.3">
      <c r="B105" s="616"/>
      <c r="C105" s="616"/>
      <c r="D105" s="616"/>
      <c r="E105" s="616"/>
      <c r="F105" s="616"/>
      <c r="G105" s="616"/>
      <c r="H105" s="616"/>
      <c r="I105" s="616"/>
      <c r="J105" s="616"/>
      <c r="K105" s="616"/>
      <c r="L105" s="616"/>
      <c r="M105" s="616"/>
      <c r="N105" s="616"/>
      <c r="O105" s="616"/>
      <c r="P105" s="616"/>
      <c r="Q105" s="616"/>
      <c r="R105" s="616"/>
      <c r="S105" s="616"/>
      <c r="T105" s="616"/>
      <c r="U105" s="616"/>
      <c r="V105" s="616"/>
      <c r="W105" s="616"/>
      <c r="X105" s="616"/>
      <c r="Y105" s="616"/>
      <c r="Z105" s="616"/>
      <c r="AA105" s="616"/>
      <c r="AB105" s="616"/>
      <c r="AC105" s="616"/>
      <c r="AD105" s="616"/>
      <c r="AE105" s="616"/>
      <c r="AF105" s="616"/>
      <c r="AG105" s="616"/>
      <c r="AH105" s="616"/>
      <c r="AI105" s="616"/>
      <c r="AJ105" s="616"/>
      <c r="AK105" s="616"/>
      <c r="AL105" s="616"/>
      <c r="AM105" s="616"/>
      <c r="AN105" s="616"/>
      <c r="AO105" s="616"/>
    </row>
    <row r="106" spans="2:41" ht="15.75" x14ac:dyDescent="0.25">
      <c r="B106" s="589" t="s">
        <v>1612</v>
      </c>
      <c r="C106" s="590"/>
      <c r="D106" s="590"/>
      <c r="E106" s="590"/>
      <c r="F106" s="590"/>
      <c r="G106" s="590"/>
      <c r="H106" s="590"/>
      <c r="I106" s="590"/>
      <c r="J106" s="590"/>
      <c r="K106" s="590"/>
      <c r="L106" s="590"/>
      <c r="M106" s="590"/>
      <c r="N106" s="590"/>
      <c r="O106" s="590"/>
      <c r="P106" s="590"/>
      <c r="Q106" s="590"/>
      <c r="R106" s="590"/>
      <c r="S106" s="590"/>
      <c r="T106" s="590"/>
      <c r="U106" s="590"/>
      <c r="V106" s="590"/>
      <c r="W106" s="590"/>
      <c r="X106" s="590"/>
      <c r="Y106" s="590"/>
      <c r="Z106" s="590"/>
      <c r="AA106" s="590"/>
      <c r="AB106" s="590"/>
      <c r="AC106" s="590"/>
      <c r="AD106" s="590"/>
      <c r="AE106" s="590"/>
      <c r="AF106" s="590"/>
      <c r="AG106" s="590"/>
      <c r="AH106" s="590"/>
      <c r="AI106" s="590"/>
      <c r="AJ106" s="590"/>
      <c r="AK106" s="590"/>
      <c r="AL106" s="590"/>
      <c r="AM106" s="590"/>
      <c r="AN106" s="590"/>
      <c r="AO106" s="591"/>
    </row>
    <row r="107" spans="2:41" x14ac:dyDescent="0.25">
      <c r="B107" s="586" t="s">
        <v>1574</v>
      </c>
      <c r="C107" s="587"/>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7"/>
      <c r="AD107" s="587"/>
      <c r="AE107" s="587"/>
      <c r="AF107" s="587"/>
      <c r="AG107" s="587"/>
      <c r="AH107" s="587"/>
      <c r="AI107" s="587"/>
      <c r="AJ107" s="587"/>
      <c r="AK107" s="587"/>
      <c r="AL107" s="587"/>
      <c r="AM107" s="587"/>
      <c r="AN107" s="587"/>
      <c r="AO107" s="588"/>
    </row>
    <row r="108" spans="2:41" x14ac:dyDescent="0.25">
      <c r="B108" s="568"/>
      <c r="C108" s="569"/>
      <c r="D108" s="569"/>
      <c r="E108" s="569"/>
      <c r="F108" s="569"/>
      <c r="G108" s="569"/>
      <c r="H108" s="569"/>
      <c r="I108" s="569"/>
      <c r="J108" s="569"/>
      <c r="K108" s="569"/>
      <c r="L108" s="569"/>
      <c r="M108" s="569"/>
      <c r="N108" s="569"/>
      <c r="O108" s="569"/>
      <c r="P108" s="569"/>
      <c r="Q108" s="569"/>
      <c r="R108" s="569"/>
      <c r="S108" s="569"/>
      <c r="T108" s="569"/>
      <c r="U108" s="569"/>
      <c r="V108" s="569"/>
      <c r="W108" s="569"/>
      <c r="X108" s="569"/>
      <c r="Y108" s="569"/>
      <c r="Z108" s="569"/>
      <c r="AA108" s="569"/>
      <c r="AB108" s="569"/>
      <c r="AC108" s="569"/>
      <c r="AD108" s="569"/>
      <c r="AE108" s="569"/>
      <c r="AF108" s="569"/>
      <c r="AG108" s="569"/>
      <c r="AH108" s="569"/>
      <c r="AI108" s="569"/>
      <c r="AJ108" s="569"/>
      <c r="AK108" s="569"/>
      <c r="AL108" s="569"/>
      <c r="AM108" s="569"/>
      <c r="AN108" s="569"/>
      <c r="AO108" s="570"/>
    </row>
    <row r="109" spans="2:41" x14ac:dyDescent="0.25">
      <c r="B109" s="568"/>
      <c r="C109" s="569"/>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569"/>
      <c r="AJ109" s="569"/>
      <c r="AK109" s="569"/>
      <c r="AL109" s="569"/>
      <c r="AM109" s="569"/>
      <c r="AN109" s="569"/>
      <c r="AO109" s="570"/>
    </row>
    <row r="110" spans="2:41" ht="15.75" thickBot="1" x14ac:dyDescent="0.3">
      <c r="B110" s="571"/>
      <c r="C110" s="572"/>
      <c r="D110" s="572"/>
      <c r="E110" s="572"/>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3"/>
    </row>
  </sheetData>
  <sheetProtection algorithmName="SHA-512" hashValue="lcvcQ80woTT40GEIcpmlGI1gpsWre7LuPfi5JEDKiVWxPc9elnbHmL8/0Xumm8FcPC+fFVtjiMdMGYQXf4/jEQ==" saltValue="GG/u0S/LuKEK8QoG/YdXSA==" spinCount="100000" sheet="1" selectLockedCells="1"/>
  <mergeCells count="408">
    <mergeCell ref="E100:P100"/>
    <mergeCell ref="Q100:Z100"/>
    <mergeCell ref="AA100:AJ100"/>
    <mergeCell ref="AK100:AO100"/>
    <mergeCell ref="E101:P101"/>
    <mergeCell ref="Q101:Z101"/>
    <mergeCell ref="AA101:AJ101"/>
    <mergeCell ref="AK101:AO101"/>
    <mergeCell ref="C100:D100"/>
    <mergeCell ref="C101:D101"/>
    <mergeCell ref="B107:AO107"/>
    <mergeCell ref="B108:AO110"/>
    <mergeCell ref="E104:P104"/>
    <mergeCell ref="Q104:Z104"/>
    <mergeCell ref="AA104:AJ104"/>
    <mergeCell ref="AK104:AO104"/>
    <mergeCell ref="B105:AO105"/>
    <mergeCell ref="C104:D104"/>
    <mergeCell ref="E102:P102"/>
    <mergeCell ref="Q102:Z102"/>
    <mergeCell ref="AA102:AJ102"/>
    <mergeCell ref="AK102:AO102"/>
    <mergeCell ref="E103:P103"/>
    <mergeCell ref="Q103:Z103"/>
    <mergeCell ref="AA103:AJ103"/>
    <mergeCell ref="AK103:AO103"/>
    <mergeCell ref="C102:D102"/>
    <mergeCell ref="C103:D103"/>
    <mergeCell ref="B106:AO106"/>
    <mergeCell ref="E99:P99"/>
    <mergeCell ref="Q99:Z99"/>
    <mergeCell ref="AA99:AJ99"/>
    <mergeCell ref="AK99:AO99"/>
    <mergeCell ref="C99:D99"/>
    <mergeCell ref="E96:S96"/>
    <mergeCell ref="T96:AD96"/>
    <mergeCell ref="AE96:AO96"/>
    <mergeCell ref="E97:S97"/>
    <mergeCell ref="T97:AD97"/>
    <mergeCell ref="AE97:AO97"/>
    <mergeCell ref="C96:D96"/>
    <mergeCell ref="C97:D97"/>
    <mergeCell ref="B98:C98"/>
    <mergeCell ref="D98:P98"/>
    <mergeCell ref="Q98:Z98"/>
    <mergeCell ref="AA98:AJ98"/>
    <mergeCell ref="AK98:AO98"/>
    <mergeCell ref="E94:P94"/>
    <mergeCell ref="Q94:Z94"/>
    <mergeCell ref="AA94:AJ94"/>
    <mergeCell ref="AK94:AO94"/>
    <mergeCell ref="B95:C95"/>
    <mergeCell ref="D95:P95"/>
    <mergeCell ref="T95:AD95"/>
    <mergeCell ref="AE95:AO95"/>
    <mergeCell ref="C94:D94"/>
    <mergeCell ref="E92:P92"/>
    <mergeCell ref="Q92:Z92"/>
    <mergeCell ref="AA92:AJ92"/>
    <mergeCell ref="AK92:AO92"/>
    <mergeCell ref="E93:P93"/>
    <mergeCell ref="Q93:Z93"/>
    <mergeCell ref="AA93:AJ93"/>
    <mergeCell ref="AK93:AO93"/>
    <mergeCell ref="C92:D92"/>
    <mergeCell ref="C93:D93"/>
    <mergeCell ref="E90:P90"/>
    <mergeCell ref="Q90:Z90"/>
    <mergeCell ref="AA90:AJ90"/>
    <mergeCell ref="AK90:AO90"/>
    <mergeCell ref="B91:C91"/>
    <mergeCell ref="D91:AO91"/>
    <mergeCell ref="E88:P88"/>
    <mergeCell ref="Q88:Z88"/>
    <mergeCell ref="AA88:AJ88"/>
    <mergeCell ref="AK88:AO88"/>
    <mergeCell ref="E89:P89"/>
    <mergeCell ref="Q89:Z89"/>
    <mergeCell ref="AA89:AJ89"/>
    <mergeCell ref="AK89:AO89"/>
    <mergeCell ref="C88:D88"/>
    <mergeCell ref="C89:D89"/>
    <mergeCell ref="C90:D90"/>
    <mergeCell ref="B86:C86"/>
    <mergeCell ref="D86:AO86"/>
    <mergeCell ref="E87:P87"/>
    <mergeCell ref="Q87:Z87"/>
    <mergeCell ref="AA87:AJ87"/>
    <mergeCell ref="AK87:AO87"/>
    <mergeCell ref="E84:P84"/>
    <mergeCell ref="Q84:Z84"/>
    <mergeCell ref="AA84:AJ84"/>
    <mergeCell ref="AK84:AO84"/>
    <mergeCell ref="E85:P85"/>
    <mergeCell ref="Q85:Z85"/>
    <mergeCell ref="AA85:AJ85"/>
    <mergeCell ref="AK85:AO85"/>
    <mergeCell ref="C84:D84"/>
    <mergeCell ref="C85:D85"/>
    <mergeCell ref="C87:D87"/>
    <mergeCell ref="E82:P82"/>
    <mergeCell ref="Q82:Z82"/>
    <mergeCell ref="AA82:AJ82"/>
    <mergeCell ref="AK82:AO82"/>
    <mergeCell ref="B83:C83"/>
    <mergeCell ref="D83:AO83"/>
    <mergeCell ref="E80:P80"/>
    <mergeCell ref="Q80:Z80"/>
    <mergeCell ref="AA80:AJ80"/>
    <mergeCell ref="AK80:AO80"/>
    <mergeCell ref="E81:P81"/>
    <mergeCell ref="Q81:Z81"/>
    <mergeCell ref="AA81:AJ81"/>
    <mergeCell ref="AK81:AO81"/>
    <mergeCell ref="C80:D80"/>
    <mergeCell ref="C81:D81"/>
    <mergeCell ref="C82:D82"/>
    <mergeCell ref="B78:C78"/>
    <mergeCell ref="D78:P78"/>
    <mergeCell ref="Q78:Z78"/>
    <mergeCell ref="AA78:AJ78"/>
    <mergeCell ref="AK78:AO78"/>
    <mergeCell ref="E79:P79"/>
    <mergeCell ref="Q79:Z79"/>
    <mergeCell ref="AA79:AJ79"/>
    <mergeCell ref="AK79:AO79"/>
    <mergeCell ref="C79:D79"/>
    <mergeCell ref="C76:P76"/>
    <mergeCell ref="C77:P77"/>
    <mergeCell ref="Q77:Z77"/>
    <mergeCell ref="AA77:AO77"/>
    <mergeCell ref="C74:P74"/>
    <mergeCell ref="C75:P75"/>
    <mergeCell ref="Q76:U76"/>
    <mergeCell ref="V76:Z76"/>
    <mergeCell ref="AA76:AG76"/>
    <mergeCell ref="AH76:AO76"/>
    <mergeCell ref="Q74:U74"/>
    <mergeCell ref="V74:Z74"/>
    <mergeCell ref="AA74:AG74"/>
    <mergeCell ref="AH74:AO74"/>
    <mergeCell ref="Q75:U75"/>
    <mergeCell ref="V75:Z75"/>
    <mergeCell ref="AA75:AG75"/>
    <mergeCell ref="AH75:AO75"/>
    <mergeCell ref="B72:D72"/>
    <mergeCell ref="E72:P72"/>
    <mergeCell ref="Q72:Z72"/>
    <mergeCell ref="AA72:AJ72"/>
    <mergeCell ref="AK72:AO72"/>
    <mergeCell ref="B73:P73"/>
    <mergeCell ref="Q73:Z73"/>
    <mergeCell ref="AA73:AO73"/>
    <mergeCell ref="B70:C70"/>
    <mergeCell ref="D70:AO70"/>
    <mergeCell ref="B71:D71"/>
    <mergeCell ref="E71:P71"/>
    <mergeCell ref="Q71:Z71"/>
    <mergeCell ref="AA71:AJ71"/>
    <mergeCell ref="AK71:AO71"/>
    <mergeCell ref="B68:D68"/>
    <mergeCell ref="E68:P68"/>
    <mergeCell ref="Q68:Z68"/>
    <mergeCell ref="AA68:AJ68"/>
    <mergeCell ref="AK68:AO68"/>
    <mergeCell ref="B69:D69"/>
    <mergeCell ref="E69:P69"/>
    <mergeCell ref="Q69:Z69"/>
    <mergeCell ref="AA69:AJ69"/>
    <mergeCell ref="AK69:AO69"/>
    <mergeCell ref="B66:D66"/>
    <mergeCell ref="E66:P66"/>
    <mergeCell ref="Q66:Z66"/>
    <mergeCell ref="AA66:AJ66"/>
    <mergeCell ref="AK66:AO66"/>
    <mergeCell ref="B67:C67"/>
    <mergeCell ref="D67:AO67"/>
    <mergeCell ref="B64:D64"/>
    <mergeCell ref="E64:P64"/>
    <mergeCell ref="Q64:Z64"/>
    <mergeCell ref="AA64:AJ64"/>
    <mergeCell ref="AK64:AO64"/>
    <mergeCell ref="B65:D65"/>
    <mergeCell ref="E65:P65"/>
    <mergeCell ref="Q65:Z65"/>
    <mergeCell ref="AA65:AJ65"/>
    <mergeCell ref="AK65:AO65"/>
    <mergeCell ref="L62:P62"/>
    <mergeCell ref="Q62:Z62"/>
    <mergeCell ref="AA62:AF62"/>
    <mergeCell ref="AG62:AO62"/>
    <mergeCell ref="B63:C63"/>
    <mergeCell ref="D63:P63"/>
    <mergeCell ref="Q63:Z63"/>
    <mergeCell ref="AA63:AJ63"/>
    <mergeCell ref="AK63:AO63"/>
    <mergeCell ref="B54:AO54"/>
    <mergeCell ref="B55:AO55"/>
    <mergeCell ref="B56:AO56"/>
    <mergeCell ref="B57:AO59"/>
    <mergeCell ref="B60:AO60"/>
    <mergeCell ref="B61:AO61"/>
    <mergeCell ref="E52:P52"/>
    <mergeCell ref="Q52:Z52"/>
    <mergeCell ref="AA52:AJ52"/>
    <mergeCell ref="AK52:AO52"/>
    <mergeCell ref="E53:P53"/>
    <mergeCell ref="Q53:Z53"/>
    <mergeCell ref="AA53:AJ53"/>
    <mergeCell ref="AK53:AO53"/>
    <mergeCell ref="C52:D52"/>
    <mergeCell ref="C53:D53"/>
    <mergeCell ref="E50:P50"/>
    <mergeCell ref="Q50:Z50"/>
    <mergeCell ref="AA50:AJ50"/>
    <mergeCell ref="AK50:AO50"/>
    <mergeCell ref="E51:P51"/>
    <mergeCell ref="Q51:Z51"/>
    <mergeCell ref="AA51:AJ51"/>
    <mergeCell ref="AK51:AO51"/>
    <mergeCell ref="C50:D50"/>
    <mergeCell ref="C51:D51"/>
    <mergeCell ref="E48:P48"/>
    <mergeCell ref="Q48:Z48"/>
    <mergeCell ref="AA48:AJ48"/>
    <mergeCell ref="AK48:AO48"/>
    <mergeCell ref="E49:P49"/>
    <mergeCell ref="Q49:Z49"/>
    <mergeCell ref="AA49:AJ49"/>
    <mergeCell ref="AK49:AO49"/>
    <mergeCell ref="C48:D48"/>
    <mergeCell ref="C49:D49"/>
    <mergeCell ref="E46:S46"/>
    <mergeCell ref="T46:AD46"/>
    <mergeCell ref="AE46:AO46"/>
    <mergeCell ref="B47:C47"/>
    <mergeCell ref="D47:P47"/>
    <mergeCell ref="Q47:Z47"/>
    <mergeCell ref="AA47:AJ47"/>
    <mergeCell ref="AK47:AO47"/>
    <mergeCell ref="C46:D46"/>
    <mergeCell ref="B44:C44"/>
    <mergeCell ref="D44:P44"/>
    <mergeCell ref="T44:AD44"/>
    <mergeCell ref="AE44:AO44"/>
    <mergeCell ref="E45:S45"/>
    <mergeCell ref="T45:AD45"/>
    <mergeCell ref="AE45:AO45"/>
    <mergeCell ref="E42:P42"/>
    <mergeCell ref="Q42:Z42"/>
    <mergeCell ref="AA42:AJ42"/>
    <mergeCell ref="AK42:AO42"/>
    <mergeCell ref="E43:P43"/>
    <mergeCell ref="Q43:Z43"/>
    <mergeCell ref="AA43:AJ43"/>
    <mergeCell ref="AK43:AO43"/>
    <mergeCell ref="C45:D45"/>
    <mergeCell ref="C43:D43"/>
    <mergeCell ref="C42:D42"/>
    <mergeCell ref="B40:C40"/>
    <mergeCell ref="D40:AO40"/>
    <mergeCell ref="E41:P41"/>
    <mergeCell ref="Q41:Z41"/>
    <mergeCell ref="AA41:AJ41"/>
    <mergeCell ref="AK41:AO41"/>
    <mergeCell ref="E38:P38"/>
    <mergeCell ref="Q38:Z38"/>
    <mergeCell ref="AA38:AJ38"/>
    <mergeCell ref="AK38:AO38"/>
    <mergeCell ref="E39:P39"/>
    <mergeCell ref="Q39:Z39"/>
    <mergeCell ref="AA39:AJ39"/>
    <mergeCell ref="AK39:AO39"/>
    <mergeCell ref="C41:D41"/>
    <mergeCell ref="C39:D39"/>
    <mergeCell ref="C38:D38"/>
    <mergeCell ref="E36:P36"/>
    <mergeCell ref="Q36:Z36"/>
    <mergeCell ref="AA36:AJ36"/>
    <mergeCell ref="AK36:AO36"/>
    <mergeCell ref="E37:P37"/>
    <mergeCell ref="Q37:Z37"/>
    <mergeCell ref="AA37:AJ37"/>
    <mergeCell ref="AK37:AO37"/>
    <mergeCell ref="C37:D37"/>
    <mergeCell ref="C36:D36"/>
    <mergeCell ref="E34:P34"/>
    <mergeCell ref="Q34:Z34"/>
    <mergeCell ref="AA34:AJ34"/>
    <mergeCell ref="AK34:AO34"/>
    <mergeCell ref="B35:C35"/>
    <mergeCell ref="D35:AO35"/>
    <mergeCell ref="B32:C32"/>
    <mergeCell ref="D32:AO32"/>
    <mergeCell ref="E33:P33"/>
    <mergeCell ref="Q33:Z33"/>
    <mergeCell ref="AA33:AJ33"/>
    <mergeCell ref="AK33:AO33"/>
    <mergeCell ref="C34:D34"/>
    <mergeCell ref="C33:D33"/>
    <mergeCell ref="E30:P30"/>
    <mergeCell ref="Q30:Z30"/>
    <mergeCell ref="AA30:AJ30"/>
    <mergeCell ref="AK30:AO30"/>
    <mergeCell ref="E31:P31"/>
    <mergeCell ref="Q31:Z31"/>
    <mergeCell ref="AA31:AJ31"/>
    <mergeCell ref="AK31:AO31"/>
    <mergeCell ref="C31:D31"/>
    <mergeCell ref="C30:D30"/>
    <mergeCell ref="E28:P28"/>
    <mergeCell ref="Q28:Z28"/>
    <mergeCell ref="AA28:AJ28"/>
    <mergeCell ref="AK28:AO28"/>
    <mergeCell ref="E29:P29"/>
    <mergeCell ref="Q29:Z29"/>
    <mergeCell ref="AA29:AJ29"/>
    <mergeCell ref="AK29:AO29"/>
    <mergeCell ref="C29:D29"/>
    <mergeCell ref="C28:D28"/>
    <mergeCell ref="C26:P26"/>
    <mergeCell ref="Q26:Z26"/>
    <mergeCell ref="AA26:AO26"/>
    <mergeCell ref="B27:C27"/>
    <mergeCell ref="D27:P27"/>
    <mergeCell ref="Q27:Z27"/>
    <mergeCell ref="AA27:AJ27"/>
    <mergeCell ref="AK27:AO27"/>
    <mergeCell ref="C24:P24"/>
    <mergeCell ref="C25:P25"/>
    <mergeCell ref="Q24:U24"/>
    <mergeCell ref="V24:Z24"/>
    <mergeCell ref="AA24:AG24"/>
    <mergeCell ref="AH24:AO24"/>
    <mergeCell ref="Q25:U25"/>
    <mergeCell ref="V25:Z25"/>
    <mergeCell ref="AA25:AG25"/>
    <mergeCell ref="AH25:AO25"/>
    <mergeCell ref="B22:P22"/>
    <mergeCell ref="Q22:Z22"/>
    <mergeCell ref="AA22:AO22"/>
    <mergeCell ref="C23:P23"/>
    <mergeCell ref="B20:D20"/>
    <mergeCell ref="E20:P20"/>
    <mergeCell ref="Q20:Z20"/>
    <mergeCell ref="AA20:AJ20"/>
    <mergeCell ref="AK20:AO20"/>
    <mergeCell ref="B21:D21"/>
    <mergeCell ref="E21:P21"/>
    <mergeCell ref="Q21:Z21"/>
    <mergeCell ref="AA21:AJ21"/>
    <mergeCell ref="AK21:AO21"/>
    <mergeCell ref="AH23:AO23"/>
    <mergeCell ref="AA23:AG23"/>
    <mergeCell ref="V23:Z23"/>
    <mergeCell ref="Q23:U23"/>
    <mergeCell ref="B18:D18"/>
    <mergeCell ref="E18:P18"/>
    <mergeCell ref="Q18:Z18"/>
    <mergeCell ref="AA18:AJ18"/>
    <mergeCell ref="AK18:AO18"/>
    <mergeCell ref="B19:C19"/>
    <mergeCell ref="D19:AO19"/>
    <mergeCell ref="B16:C16"/>
    <mergeCell ref="D16:AO16"/>
    <mergeCell ref="B17:D17"/>
    <mergeCell ref="E17:P17"/>
    <mergeCell ref="Q17:Z17"/>
    <mergeCell ref="AA17:AJ17"/>
    <mergeCell ref="AK17:AO17"/>
    <mergeCell ref="B14:D14"/>
    <mergeCell ref="E14:P14"/>
    <mergeCell ref="Q14:Z14"/>
    <mergeCell ref="AA14:AJ14"/>
    <mergeCell ref="AK14:AO14"/>
    <mergeCell ref="B15:D15"/>
    <mergeCell ref="E15:P15"/>
    <mergeCell ref="Q15:Z15"/>
    <mergeCell ref="AA15:AJ15"/>
    <mergeCell ref="AK15:AO15"/>
    <mergeCell ref="B12:C12"/>
    <mergeCell ref="D12:P12"/>
    <mergeCell ref="Q12:Z12"/>
    <mergeCell ref="AA12:AJ12"/>
    <mergeCell ref="AK12:AO12"/>
    <mergeCell ref="B13:D13"/>
    <mergeCell ref="E13:P13"/>
    <mergeCell ref="Q13:Z13"/>
    <mergeCell ref="AA13:AJ13"/>
    <mergeCell ref="AK13:AO13"/>
    <mergeCell ref="AC7:AN7"/>
    <mergeCell ref="B8:AO8"/>
    <mergeCell ref="B9:AO9"/>
    <mergeCell ref="B10:AO10"/>
    <mergeCell ref="L11:P11"/>
    <mergeCell ref="Q11:Z11"/>
    <mergeCell ref="AA11:AF11"/>
    <mergeCell ref="AG11:AO11"/>
    <mergeCell ref="B1:AO1"/>
    <mergeCell ref="B2:AO2"/>
    <mergeCell ref="B4:AO4"/>
    <mergeCell ref="B5:AO5"/>
    <mergeCell ref="B6:AO6"/>
    <mergeCell ref="B7:E7"/>
    <mergeCell ref="F7:P7"/>
    <mergeCell ref="Q7:S7"/>
    <mergeCell ref="T7:Y7"/>
    <mergeCell ref="Z7:AB7"/>
  </mergeCells>
  <conditionalFormatting sqref="F7 T7 AC7">
    <cfRule type="containsBlanks" dxfId="9" priority="1">
      <formula>LEN(TRIM(F7))=0</formula>
    </cfRule>
  </conditionalFormatting>
  <printOptions horizontalCentered="1"/>
  <pageMargins left="0.3" right="0.3" top="0.3" bottom="0.3" header="0" footer="0"/>
  <pageSetup scale="94" fitToHeight="2" orientation="portrait" horizontalDpi="1200" verticalDpi="1200"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BAA-23A4-4DF5-BC41-E37F4CE9EF87}">
  <dimension ref="B1:BZ23"/>
  <sheetViews>
    <sheetView zoomScale="145" zoomScaleNormal="145" workbookViewId="0">
      <selection activeCell="E6" sqref="E6:L6"/>
    </sheetView>
  </sheetViews>
  <sheetFormatPr defaultRowHeight="15" x14ac:dyDescent="0.25"/>
  <cols>
    <col min="1" max="46" width="2.5703125" customWidth="1"/>
    <col min="47" max="47" width="3.5703125" customWidth="1"/>
    <col min="48" max="92" width="2.5703125" customWidth="1"/>
  </cols>
  <sheetData>
    <row r="1" spans="2:78" ht="25.9"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row>
    <row r="2" spans="2:78" ht="21" customHeight="1" x14ac:dyDescent="0.35">
      <c r="B2" s="626" t="s">
        <v>1682</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row>
    <row r="3" spans="2:78" ht="15" customHeight="1" thickBot="1" x14ac:dyDescent="0.3">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c r="AF3" s="759"/>
      <c r="AG3" s="759"/>
      <c r="AH3" s="759"/>
      <c r="AI3" s="759"/>
      <c r="AJ3" s="759"/>
      <c r="AK3" s="759"/>
    </row>
    <row r="4" spans="2:78" ht="15.75" customHeight="1" x14ac:dyDescent="0.25">
      <c r="B4" s="1935" t="s">
        <v>0</v>
      </c>
      <c r="C4" s="1936"/>
      <c r="D4" s="1936"/>
      <c r="E4" s="1936"/>
      <c r="F4" s="1936"/>
      <c r="G4" s="1936"/>
      <c r="H4" s="1936"/>
      <c r="I4" s="1936"/>
      <c r="J4" s="1936"/>
      <c r="K4" s="1936"/>
      <c r="L4" s="1936"/>
      <c r="M4" s="1936"/>
      <c r="N4" s="1936"/>
      <c r="O4" s="1936"/>
      <c r="P4" s="1936"/>
      <c r="Q4" s="1936"/>
      <c r="R4" s="1936"/>
      <c r="S4" s="1936"/>
      <c r="T4" s="1936"/>
      <c r="U4" s="1936"/>
      <c r="V4" s="1936"/>
      <c r="W4" s="1936"/>
      <c r="X4" s="1936"/>
      <c r="Y4" s="1936"/>
      <c r="Z4" s="1936"/>
      <c r="AA4" s="1936"/>
      <c r="AB4" s="1936"/>
      <c r="AC4" s="1936"/>
      <c r="AD4" s="1936"/>
      <c r="AE4" s="1936"/>
      <c r="AF4" s="1936"/>
      <c r="AG4" s="1936"/>
      <c r="AH4" s="1936"/>
      <c r="AI4" s="1936"/>
      <c r="AJ4" s="1936"/>
      <c r="AK4" s="1937"/>
      <c r="AL4" s="394"/>
    </row>
    <row r="5" spans="2:78" s="2" customFormat="1" ht="18" customHeight="1" x14ac:dyDescent="0.25">
      <c r="B5" s="1976" t="s">
        <v>1442</v>
      </c>
      <c r="C5" s="1977"/>
      <c r="D5" s="1977"/>
      <c r="E5" s="640" t="str">
        <f>IF(ISBLANK('Project Information'!M15),"",'Project Information'!M15)</f>
        <v/>
      </c>
      <c r="F5" s="640"/>
      <c r="G5" s="640"/>
      <c r="H5" s="640"/>
      <c r="I5" s="640"/>
      <c r="J5" s="640"/>
      <c r="K5" s="640"/>
      <c r="L5" s="640"/>
      <c r="M5" s="1977" t="s">
        <v>604</v>
      </c>
      <c r="N5" s="1977"/>
      <c r="O5" s="1977"/>
      <c r="P5" s="640" t="str">
        <f>IF(ISBLANK('Project Information'!E6),"",'Project Information'!E6)</f>
        <v/>
      </c>
      <c r="Q5" s="640"/>
      <c r="R5" s="640"/>
      <c r="S5" s="640"/>
      <c r="T5" s="640"/>
      <c r="U5" s="640"/>
      <c r="V5" s="640"/>
      <c r="W5" s="640"/>
      <c r="X5" s="640"/>
      <c r="Y5" s="640" t="s">
        <v>605</v>
      </c>
      <c r="Z5" s="640"/>
      <c r="AA5" s="640" t="str">
        <f>IF(ISBLANK('Project Information'!X6),"",'Project Information'!X6)</f>
        <v/>
      </c>
      <c r="AB5" s="640"/>
      <c r="AC5" s="640"/>
      <c r="AD5" s="640"/>
      <c r="AE5" s="640"/>
      <c r="AF5" s="474" t="s">
        <v>1</v>
      </c>
      <c r="AG5" s="640" t="s">
        <v>1443</v>
      </c>
      <c r="AH5" s="640"/>
      <c r="AI5" s="1967"/>
      <c r="AJ5" s="1967"/>
      <c r="AK5" s="1968"/>
      <c r="AL5" s="395"/>
      <c r="AO5"/>
    </row>
    <row r="6" spans="2:78" s="2" customFormat="1" ht="18" customHeight="1" thickBot="1" x14ac:dyDescent="0.3">
      <c r="B6" s="1847" t="s">
        <v>1444</v>
      </c>
      <c r="C6" s="620"/>
      <c r="D6" s="620"/>
      <c r="E6" s="1975"/>
      <c r="F6" s="1975"/>
      <c r="G6" s="1975"/>
      <c r="H6" s="1975"/>
      <c r="I6" s="1975"/>
      <c r="J6" s="1975"/>
      <c r="K6" s="1975"/>
      <c r="L6" s="1975"/>
      <c r="M6" s="1971" t="s">
        <v>1428</v>
      </c>
      <c r="N6" s="1971"/>
      <c r="O6" s="1971"/>
      <c r="P6" s="1971"/>
      <c r="Q6" s="1971"/>
      <c r="R6" s="1971"/>
      <c r="S6" s="1971"/>
      <c r="T6" s="1971"/>
      <c r="U6" s="1971"/>
      <c r="V6" s="1971"/>
      <c r="W6" s="1971"/>
      <c r="X6" s="1971"/>
      <c r="Y6" s="1971"/>
      <c r="Z6" s="1971"/>
      <c r="AA6" s="1971"/>
      <c r="AB6" s="1971"/>
      <c r="AC6" s="1971"/>
      <c r="AD6" s="1971"/>
      <c r="AE6" s="1970"/>
      <c r="AF6" s="1970"/>
      <c r="AG6" s="1972"/>
      <c r="AH6" s="1972"/>
      <c r="AI6" s="1972"/>
      <c r="AJ6" s="1972"/>
      <c r="AK6" s="1973"/>
      <c r="AL6" s="395"/>
    </row>
    <row r="7" spans="2:78" s="2" customFormat="1" ht="5.25" customHeight="1" thickBot="1" x14ac:dyDescent="0.3">
      <c r="B7" s="1969"/>
      <c r="C7" s="1969"/>
      <c r="D7" s="1969"/>
      <c r="E7" s="637"/>
      <c r="F7" s="637"/>
      <c r="G7" s="637"/>
      <c r="H7" s="637"/>
      <c r="I7" s="637"/>
      <c r="J7" s="637"/>
      <c r="K7" s="637"/>
      <c r="L7" s="637"/>
      <c r="M7" s="1969"/>
      <c r="N7" s="1969"/>
      <c r="O7" s="1969"/>
      <c r="P7" s="1969"/>
      <c r="Q7" s="1969"/>
      <c r="R7" s="1969"/>
      <c r="S7" s="1969"/>
      <c r="T7" s="1969"/>
      <c r="U7" s="1969"/>
      <c r="V7" s="1969"/>
      <c r="W7" s="1969"/>
      <c r="X7" s="1969"/>
      <c r="Y7" s="1969"/>
      <c r="Z7" s="1969"/>
      <c r="AA7" s="1969"/>
      <c r="AB7" s="1969"/>
      <c r="AC7" s="1969"/>
      <c r="AD7" s="1969"/>
      <c r="AE7" s="1969"/>
      <c r="AF7" s="1969"/>
      <c r="AG7" s="1969"/>
      <c r="AH7" s="1969"/>
      <c r="AI7" s="1969"/>
      <c r="AJ7" s="1969"/>
      <c r="AK7" s="1969"/>
      <c r="AL7" s="395"/>
    </row>
    <row r="8" spans="2:78" s="2" customFormat="1" ht="18" customHeight="1" x14ac:dyDescent="0.25">
      <c r="B8" s="1935" t="s">
        <v>1036</v>
      </c>
      <c r="C8" s="1936"/>
      <c r="D8" s="1936"/>
      <c r="E8" s="1936"/>
      <c r="F8" s="1936"/>
      <c r="G8" s="1936"/>
      <c r="H8" s="1936"/>
      <c r="I8" s="1936"/>
      <c r="J8" s="1936"/>
      <c r="K8" s="1936"/>
      <c r="L8" s="1936"/>
      <c r="M8" s="1936"/>
      <c r="N8" s="1936"/>
      <c r="O8" s="1936"/>
      <c r="P8" s="1936"/>
      <c r="Q8" s="1936"/>
      <c r="R8" s="1936"/>
      <c r="S8" s="1936"/>
      <c r="T8" s="1936"/>
      <c r="U8" s="1936"/>
      <c r="V8" s="1936"/>
      <c r="W8" s="1936"/>
      <c r="X8" s="1936"/>
      <c r="Y8" s="1936"/>
      <c r="Z8" s="1936"/>
      <c r="AA8" s="1936"/>
      <c r="AB8" s="1936"/>
      <c r="AC8" s="1936"/>
      <c r="AD8" s="1936"/>
      <c r="AE8" s="1936"/>
      <c r="AF8" s="1936"/>
      <c r="AG8" s="1936"/>
      <c r="AH8" s="1936"/>
      <c r="AI8" s="1936"/>
      <c r="AJ8" s="1936"/>
      <c r="AK8" s="1937"/>
      <c r="AL8" s="395"/>
    </row>
    <row r="9" spans="2:78" s="2" customFormat="1" ht="18" hidden="1" customHeight="1" thickBot="1" x14ac:dyDescent="0.3">
      <c r="B9" s="669" t="s">
        <v>1037</v>
      </c>
      <c r="C9" s="560"/>
      <c r="D9" s="1841" t="s">
        <v>1038</v>
      </c>
      <c r="E9" s="1841"/>
      <c r="F9" s="1841"/>
      <c r="G9" s="1841"/>
      <c r="H9" s="1841"/>
      <c r="I9" s="1841"/>
      <c r="J9" s="1841"/>
      <c r="K9" s="1841"/>
      <c r="L9" s="583" t="s">
        <v>1039</v>
      </c>
      <c r="M9" s="583"/>
      <c r="N9" s="583"/>
      <c r="O9" s="1974"/>
      <c r="P9" s="1974"/>
      <c r="Q9" s="1963" t="s">
        <v>1040</v>
      </c>
      <c r="R9" s="1963"/>
      <c r="S9" s="1963"/>
      <c r="T9" s="1963"/>
      <c r="U9" s="1963"/>
      <c r="V9" s="1964"/>
      <c r="W9" s="1964"/>
      <c r="X9" s="1964"/>
      <c r="Y9" s="1965"/>
      <c r="Z9" s="1965"/>
      <c r="AA9" s="1965"/>
      <c r="AB9" s="1965"/>
      <c r="AC9" s="1965"/>
      <c r="AD9" s="1965"/>
      <c r="AE9" s="1965"/>
      <c r="AF9" s="1965"/>
      <c r="AG9" s="1965"/>
      <c r="AH9" s="1965"/>
      <c r="AI9" s="1965"/>
      <c r="AJ9" s="1965"/>
      <c r="AK9" s="1966"/>
      <c r="AL9" s="395"/>
    </row>
    <row r="10" spans="2:78" s="2" customFormat="1" ht="18" customHeight="1" thickBot="1" x14ac:dyDescent="0.3">
      <c r="B10" s="1923" t="s">
        <v>1404</v>
      </c>
      <c r="C10" s="1924"/>
      <c r="D10" s="1924"/>
      <c r="E10" s="1924"/>
      <c r="F10" s="1924"/>
      <c r="G10" s="1924"/>
      <c r="H10" s="1924"/>
      <c r="I10" s="1924"/>
      <c r="J10" s="1924"/>
      <c r="K10" s="1924"/>
      <c r="L10" s="1925"/>
      <c r="M10" s="1925"/>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8"/>
      <c r="AL10" s="395"/>
    </row>
    <row r="11" spans="2:78" ht="5.25" customHeight="1" thickBot="1" x14ac:dyDescent="0.3">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row>
    <row r="12" spans="2:78" ht="15.75" customHeight="1" x14ac:dyDescent="0.25">
      <c r="B12" s="1935" t="s">
        <v>1041</v>
      </c>
      <c r="C12" s="1936"/>
      <c r="D12" s="1936"/>
      <c r="E12" s="1936"/>
      <c r="F12" s="1936"/>
      <c r="G12" s="1936"/>
      <c r="H12" s="1936"/>
      <c r="I12" s="1936"/>
      <c r="J12" s="1936"/>
      <c r="K12" s="1936"/>
      <c r="L12" s="1936"/>
      <c r="M12" s="1936"/>
      <c r="N12" s="1936"/>
      <c r="O12" s="1936"/>
      <c r="P12" s="1936"/>
      <c r="Q12" s="1936"/>
      <c r="R12" s="1936"/>
      <c r="S12" s="1936"/>
      <c r="T12" s="1936"/>
      <c r="U12" s="1936"/>
      <c r="V12" s="1936"/>
      <c r="W12" s="1936"/>
      <c r="X12" s="1936"/>
      <c r="Y12" s="1936"/>
      <c r="Z12" s="1936"/>
      <c r="AA12" s="1936"/>
      <c r="AB12" s="1936"/>
      <c r="AC12" s="1936"/>
      <c r="AD12" s="1936"/>
      <c r="AE12" s="1936"/>
      <c r="AF12" s="1936"/>
      <c r="AG12" s="1936"/>
      <c r="AH12" s="1936"/>
      <c r="AI12" s="1936"/>
      <c r="AJ12" s="1936"/>
      <c r="AK12" s="1937"/>
      <c r="AL12" s="394"/>
    </row>
    <row r="13" spans="2:78" ht="27.75" customHeight="1" x14ac:dyDescent="0.25">
      <c r="B13" s="1960" t="s">
        <v>1406</v>
      </c>
      <c r="C13" s="1961"/>
      <c r="D13" s="1961"/>
      <c r="E13" s="1961"/>
      <c r="F13" s="1961"/>
      <c r="G13" s="1961"/>
      <c r="H13" s="1961"/>
      <c r="I13" s="1961"/>
      <c r="J13" s="1961"/>
      <c r="K13" s="1961"/>
      <c r="L13" s="1961"/>
      <c r="M13" s="1961"/>
      <c r="N13" s="1961"/>
      <c r="O13" s="1961"/>
      <c r="P13" s="1961"/>
      <c r="Q13" s="1961"/>
      <c r="R13" s="1961"/>
      <c r="S13" s="1961"/>
      <c r="T13" s="1961"/>
      <c r="U13" s="1961"/>
      <c r="V13" s="1961"/>
      <c r="W13" s="1961"/>
      <c r="X13" s="1961"/>
      <c r="Y13" s="1961"/>
      <c r="Z13" s="1961"/>
      <c r="AA13" s="1961"/>
      <c r="AB13" s="1961"/>
      <c r="AC13" s="1961"/>
      <c r="AD13" s="1961"/>
      <c r="AE13" s="1961"/>
      <c r="AF13" s="1961"/>
      <c r="AG13" s="1961"/>
      <c r="AH13" s="1961"/>
      <c r="AI13" s="1961"/>
      <c r="AJ13" s="1961"/>
      <c r="AK13" s="1962"/>
      <c r="AL13" s="396"/>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row>
    <row r="14" spans="2:78" s="397" customFormat="1" x14ac:dyDescent="0.25">
      <c r="B14" s="1926" t="s">
        <v>1405</v>
      </c>
      <c r="C14" s="1927"/>
      <c r="D14" s="1927"/>
      <c r="E14" s="1927"/>
      <c r="F14" s="1927"/>
      <c r="G14" s="1927"/>
      <c r="H14" s="1927"/>
      <c r="I14" s="1927"/>
      <c r="J14" s="1927"/>
      <c r="K14" s="1928" t="str">
        <f>IF(OR(ISBLANK(L10),ISBLANK(E6),ISBLANK(AE6)),"",-'Dashboard_FS (2)'!U25)</f>
        <v/>
      </c>
      <c r="L14" s="1928"/>
      <c r="M14" s="1928"/>
      <c r="N14" s="1928"/>
      <c r="O14" s="1928"/>
      <c r="P14" s="547"/>
      <c r="Q14" s="547"/>
      <c r="R14" s="547"/>
      <c r="S14" s="547"/>
      <c r="T14" s="547"/>
      <c r="U14" s="547"/>
      <c r="V14" s="547"/>
      <c r="W14" s="547"/>
      <c r="X14" s="547"/>
      <c r="Y14" s="547"/>
      <c r="Z14" s="547"/>
      <c r="AA14" s="547"/>
      <c r="AB14" s="547"/>
      <c r="AC14" s="547"/>
      <c r="AD14" s="547"/>
      <c r="AE14" s="547"/>
      <c r="AF14" s="547"/>
      <c r="AG14" s="547"/>
      <c r="AH14" s="547"/>
      <c r="AI14" s="547"/>
      <c r="AJ14" s="547"/>
      <c r="AK14" s="1929"/>
      <c r="AP14"/>
    </row>
    <row r="15" spans="2:78" s="397" customFormat="1" ht="13.5" thickBot="1" x14ac:dyDescent="0.25">
      <c r="B15" s="1926" t="s">
        <v>1042</v>
      </c>
      <c r="C15" s="1927"/>
      <c r="D15" s="1927"/>
      <c r="E15" s="1927"/>
      <c r="F15" s="1927"/>
      <c r="G15" s="1927"/>
      <c r="H15" s="1927"/>
      <c r="I15" s="1927"/>
      <c r="J15" s="1927"/>
      <c r="K15" s="1959" t="str">
        <f>IF(OR(ISBLANK(L10),ISBLANK(E6),ISBLANK(AE6)),"",-'Dashboard_FS (2)'!X25)</f>
        <v/>
      </c>
      <c r="L15" s="1959"/>
      <c r="M15" s="1959"/>
      <c r="N15" s="1959"/>
      <c r="O15" s="1959"/>
      <c r="P15" s="547"/>
      <c r="Q15" s="547"/>
      <c r="R15" s="547"/>
      <c r="S15" s="547"/>
      <c r="T15" s="547"/>
      <c r="U15" s="547"/>
      <c r="V15" s="547"/>
      <c r="W15" s="547"/>
      <c r="X15" s="547"/>
      <c r="Y15" s="547"/>
      <c r="Z15" s="547"/>
      <c r="AA15" s="547"/>
      <c r="AB15" s="547"/>
      <c r="AC15" s="547"/>
      <c r="AD15" s="547"/>
      <c r="AE15" s="547"/>
      <c r="AF15" s="547"/>
      <c r="AG15" s="547"/>
      <c r="AH15" s="547"/>
      <c r="AI15" s="547"/>
      <c r="AJ15" s="547"/>
      <c r="AK15" s="1929"/>
      <c r="AN15" s="398"/>
    </row>
    <row r="16" spans="2:78" s="397" customFormat="1" ht="14.25" thickTop="1" thickBot="1" x14ac:dyDescent="0.25">
      <c r="B16" s="1952" t="s">
        <v>1409</v>
      </c>
      <c r="C16" s="1953"/>
      <c r="D16" s="1953"/>
      <c r="E16" s="1953"/>
      <c r="F16" s="1953"/>
      <c r="G16" s="1953"/>
      <c r="H16" s="1953"/>
      <c r="I16" s="1953"/>
      <c r="J16" s="1953"/>
      <c r="K16" s="1954" t="str">
        <f>IF(OR(ISBLANK(L10),ISBLANK(E6),ISBLANK(AE6)),"",K14+K15)</f>
        <v/>
      </c>
      <c r="L16" s="1954"/>
      <c r="M16" s="1954"/>
      <c r="N16" s="1954"/>
      <c r="O16" s="1954"/>
      <c r="P16" s="1955"/>
      <c r="Q16" s="1955"/>
      <c r="R16" s="1953" t="s">
        <v>1410</v>
      </c>
      <c r="S16" s="1953"/>
      <c r="T16" s="1953"/>
      <c r="U16" s="1953"/>
      <c r="V16" s="1953"/>
      <c r="W16" s="1953"/>
      <c r="X16" s="1953"/>
      <c r="Y16" s="1953"/>
      <c r="Z16" s="1953"/>
      <c r="AA16" s="1953"/>
      <c r="AB16" s="1956" t="str">
        <f>IF(OR(ISBLANK(L10),ISBLANK(AE6)),"",K16/12)</f>
        <v/>
      </c>
      <c r="AC16" s="1957"/>
      <c r="AD16" s="1957"/>
      <c r="AE16" s="1957"/>
      <c r="AF16" s="1958"/>
      <c r="AG16" s="1950"/>
      <c r="AH16" s="1950"/>
      <c r="AI16" s="1950"/>
      <c r="AJ16" s="1950"/>
      <c r="AK16" s="1951"/>
    </row>
    <row r="17" spans="2:38" s="397" customFormat="1" ht="5.25" customHeight="1" thickBot="1" x14ac:dyDescent="0.25">
      <c r="B17" s="399"/>
      <c r="C17" s="399"/>
      <c r="D17" s="399"/>
      <c r="E17" s="399"/>
      <c r="F17" s="399"/>
      <c r="G17" s="399"/>
      <c r="H17" s="399"/>
      <c r="I17" s="475"/>
      <c r="J17" s="475"/>
      <c r="K17" s="475"/>
      <c r="L17" s="475"/>
      <c r="M17" s="475"/>
      <c r="N17" s="399"/>
      <c r="O17" s="399"/>
      <c r="P17" s="399"/>
      <c r="Q17" s="399"/>
      <c r="R17" s="399"/>
      <c r="S17" s="399"/>
      <c r="T17" s="399"/>
      <c r="U17" s="475"/>
      <c r="V17" s="475"/>
      <c r="W17" s="475"/>
      <c r="X17" s="475"/>
      <c r="Y17" s="475"/>
      <c r="Z17" s="399"/>
      <c r="AA17" s="399"/>
      <c r="AB17" s="399"/>
      <c r="AC17" s="399"/>
      <c r="AD17" s="399"/>
      <c r="AE17" s="399"/>
      <c r="AF17" s="399"/>
      <c r="AG17" s="475"/>
      <c r="AH17" s="475"/>
      <c r="AI17" s="475"/>
      <c r="AJ17" s="475"/>
      <c r="AK17" s="475"/>
    </row>
    <row r="18" spans="2:38" s="397" customFormat="1" ht="15.75" customHeight="1" x14ac:dyDescent="0.2">
      <c r="B18" s="1935" t="s">
        <v>1043</v>
      </c>
      <c r="C18" s="1936"/>
      <c r="D18" s="1936"/>
      <c r="E18" s="1936"/>
      <c r="F18" s="1936"/>
      <c r="G18" s="1936"/>
      <c r="H18" s="1936"/>
      <c r="I18" s="1936"/>
      <c r="J18" s="1936"/>
      <c r="K18" s="1936"/>
      <c r="L18" s="1936"/>
      <c r="M18" s="1936"/>
      <c r="N18" s="1936"/>
      <c r="O18" s="1936"/>
      <c r="P18" s="1936"/>
      <c r="Q18" s="1936"/>
      <c r="R18" s="1936"/>
      <c r="S18" s="1936"/>
      <c r="T18" s="1936"/>
      <c r="U18" s="1936"/>
      <c r="V18" s="1936"/>
      <c r="W18" s="1936"/>
      <c r="X18" s="1936"/>
      <c r="Y18" s="1936"/>
      <c r="Z18" s="1936"/>
      <c r="AA18" s="1936"/>
      <c r="AB18" s="1936"/>
      <c r="AC18" s="1936"/>
      <c r="AD18" s="1936"/>
      <c r="AE18" s="1936"/>
      <c r="AF18" s="1936"/>
      <c r="AG18" s="1936"/>
      <c r="AH18" s="1936"/>
      <c r="AI18" s="1936"/>
      <c r="AJ18" s="1936"/>
      <c r="AK18" s="1937"/>
    </row>
    <row r="19" spans="2:38" ht="44.1" customHeight="1" x14ac:dyDescent="0.25">
      <c r="B19" s="1938" t="s">
        <v>1044</v>
      </c>
      <c r="C19" s="1939"/>
      <c r="D19" s="1939"/>
      <c r="E19" s="1939"/>
      <c r="F19" s="1939"/>
      <c r="G19" s="1939"/>
      <c r="H19" s="1939"/>
      <c r="I19" s="1939"/>
      <c r="J19" s="1939"/>
      <c r="K19" s="1939"/>
      <c r="L19" s="1939"/>
      <c r="M19" s="1939"/>
      <c r="N19" s="1939"/>
      <c r="O19" s="1939"/>
      <c r="P19" s="1939"/>
      <c r="Q19" s="1939"/>
      <c r="R19" s="1939"/>
      <c r="S19" s="1939"/>
      <c r="T19" s="1939"/>
      <c r="U19" s="1939"/>
      <c r="V19" s="1939"/>
      <c r="W19" s="1939"/>
      <c r="X19" s="1939"/>
      <c r="Y19" s="1939"/>
      <c r="Z19" s="1939"/>
      <c r="AA19" s="1939"/>
      <c r="AB19" s="1939"/>
      <c r="AC19" s="1939"/>
      <c r="AD19" s="1939"/>
      <c r="AE19" s="1939"/>
      <c r="AF19" s="1939"/>
      <c r="AG19" s="1939"/>
      <c r="AH19" s="1939"/>
      <c r="AI19" s="1939"/>
      <c r="AJ19" s="1939"/>
      <c r="AK19" s="1940"/>
      <c r="AL19" s="400"/>
    </row>
    <row r="20" spans="2:38" ht="19.899999999999999" customHeight="1" x14ac:dyDescent="0.25">
      <c r="B20" s="1941" t="s">
        <v>1045</v>
      </c>
      <c r="C20" s="1942"/>
      <c r="D20" s="1942"/>
      <c r="E20" s="1942"/>
      <c r="F20" s="1942"/>
      <c r="G20" s="1942"/>
      <c r="H20" s="1942"/>
      <c r="I20" s="1942"/>
      <c r="J20" s="1942"/>
      <c r="K20" s="1942"/>
      <c r="L20" s="1942"/>
      <c r="M20" s="1942"/>
      <c r="N20" s="1942"/>
      <c r="O20" s="1942"/>
      <c r="P20" s="1942"/>
      <c r="Q20" s="1942"/>
      <c r="R20" s="1942"/>
      <c r="S20" s="1942"/>
      <c r="T20" s="1942"/>
      <c r="U20" s="1942"/>
      <c r="V20" s="1942"/>
      <c r="W20" s="1942"/>
      <c r="X20" s="1942"/>
      <c r="Y20" s="1942"/>
      <c r="Z20" s="1942"/>
      <c r="AA20" s="1942"/>
      <c r="AB20" s="1942"/>
      <c r="AC20" s="1942"/>
      <c r="AD20" s="1942"/>
      <c r="AE20" s="1942"/>
      <c r="AF20" s="1942"/>
      <c r="AG20" s="1942"/>
      <c r="AH20" s="1942"/>
      <c r="AI20" s="1942"/>
      <c r="AJ20" s="1942"/>
      <c r="AK20" s="1943"/>
    </row>
    <row r="21" spans="2:38" ht="40.5" customHeight="1" x14ac:dyDescent="0.25">
      <c r="B21" s="1944" t="s">
        <v>399</v>
      </c>
      <c r="C21" s="1945"/>
      <c r="D21" s="1945"/>
      <c r="E21" s="1945"/>
      <c r="F21" s="1945"/>
      <c r="G21" s="1946"/>
      <c r="H21" s="1946"/>
      <c r="I21" s="1946"/>
      <c r="J21" s="1946"/>
      <c r="K21" s="1946"/>
      <c r="L21" s="1946"/>
      <c r="M21" s="1946"/>
      <c r="N21" s="1946"/>
      <c r="O21" s="1946"/>
      <c r="P21" s="1946"/>
      <c r="Q21" s="1947" t="s">
        <v>175</v>
      </c>
      <c r="R21" s="1947"/>
      <c r="S21" s="1947"/>
      <c r="T21" s="1947"/>
      <c r="U21" s="1946"/>
      <c r="V21" s="1946"/>
      <c r="W21" s="1946"/>
      <c r="X21" s="1946"/>
      <c r="Y21" s="1946"/>
      <c r="Z21" s="1946"/>
      <c r="AA21" s="1946"/>
      <c r="AB21" s="1946"/>
      <c r="AC21" s="1946"/>
      <c r="AD21" s="1946"/>
      <c r="AE21" s="1948" t="s">
        <v>176</v>
      </c>
      <c r="AF21" s="1948"/>
      <c r="AG21" s="1948"/>
      <c r="AH21" s="1946"/>
      <c r="AI21" s="1946"/>
      <c r="AJ21" s="1946"/>
      <c r="AK21" s="1949"/>
    </row>
    <row r="22" spans="2:38" ht="40.5" customHeight="1" thickBot="1" x14ac:dyDescent="0.3">
      <c r="B22" s="1930" t="s">
        <v>177</v>
      </c>
      <c r="C22" s="1931"/>
      <c r="D22" s="1931"/>
      <c r="E22" s="1931"/>
      <c r="F22" s="1931"/>
      <c r="G22" s="1931"/>
      <c r="H22" s="1931"/>
      <c r="I22" s="1931"/>
      <c r="J22" s="1932"/>
      <c r="K22" s="1932"/>
      <c r="L22" s="1932"/>
      <c r="M22" s="1932"/>
      <c r="N22" s="1932"/>
      <c r="O22" s="1932"/>
      <c r="P22" s="1932"/>
      <c r="Q22" s="1932"/>
      <c r="R22" s="1932"/>
      <c r="S22" s="1932"/>
      <c r="T22" s="1932"/>
      <c r="U22" s="1932"/>
      <c r="V22" s="1932"/>
      <c r="W22" s="1932"/>
      <c r="X22" s="1932"/>
      <c r="Y22" s="1932"/>
      <c r="Z22" s="1932"/>
      <c r="AA22" s="1932"/>
      <c r="AB22" s="1932"/>
      <c r="AC22" s="1932"/>
      <c r="AD22" s="1932"/>
      <c r="AE22" s="1933" t="s">
        <v>176</v>
      </c>
      <c r="AF22" s="1933"/>
      <c r="AG22" s="1933"/>
      <c r="AH22" s="1932"/>
      <c r="AI22" s="1932"/>
      <c r="AJ22" s="1932"/>
      <c r="AK22" s="1934"/>
    </row>
    <row r="23" spans="2:38" ht="4.7" customHeight="1" x14ac:dyDescent="0.25">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89"/>
      <c r="AI23" s="689"/>
      <c r="AJ23" s="689"/>
      <c r="AK23" s="689"/>
    </row>
  </sheetData>
  <sheetProtection algorithmName="SHA-512" hashValue="QrblG17MJPUV4MrQcJ9qnO1UHu6Ewlm6XVYLJl9KOG7nhcH1tZ25yNk3UzfJ23DAZqKf/HstI094BvYh2xNHkw==" saltValue="Wo07/GpYSeh7Na5C8kzkJw==" spinCount="100000" sheet="1" selectLockedCells="1"/>
  <mergeCells count="58">
    <mergeCell ref="B1:AK1"/>
    <mergeCell ref="B2:AK2"/>
    <mergeCell ref="B3:AK3"/>
    <mergeCell ref="B4:AK4"/>
    <mergeCell ref="B5:D5"/>
    <mergeCell ref="E5:L5"/>
    <mergeCell ref="M5:O5"/>
    <mergeCell ref="P5:X5"/>
    <mergeCell ref="Y5:Z5"/>
    <mergeCell ref="AA5:AE5"/>
    <mergeCell ref="Q9:U9"/>
    <mergeCell ref="V9:X9"/>
    <mergeCell ref="Y9:AK9"/>
    <mergeCell ref="AG5:AH5"/>
    <mergeCell ref="AI5:AK5"/>
    <mergeCell ref="B7:AK7"/>
    <mergeCell ref="AE6:AF6"/>
    <mergeCell ref="M6:AD6"/>
    <mergeCell ref="AG6:AK6"/>
    <mergeCell ref="B8:AK8"/>
    <mergeCell ref="B9:C9"/>
    <mergeCell ref="D9:K9"/>
    <mergeCell ref="L9:N9"/>
    <mergeCell ref="O9:P9"/>
    <mergeCell ref="B6:D6"/>
    <mergeCell ref="E6:L6"/>
    <mergeCell ref="B15:J15"/>
    <mergeCell ref="K15:O15"/>
    <mergeCell ref="P15:AK15"/>
    <mergeCell ref="B11:AK11"/>
    <mergeCell ref="B12:AK12"/>
    <mergeCell ref="B13:AK13"/>
    <mergeCell ref="AG16:AK16"/>
    <mergeCell ref="B16:J16"/>
    <mergeCell ref="K16:O16"/>
    <mergeCell ref="P16:Q16"/>
    <mergeCell ref="R16:AA16"/>
    <mergeCell ref="AB16:AF16"/>
    <mergeCell ref="B18:AK18"/>
    <mergeCell ref="B19:AK19"/>
    <mergeCell ref="B20:AK20"/>
    <mergeCell ref="B21:F21"/>
    <mergeCell ref="G21:P21"/>
    <mergeCell ref="Q21:T21"/>
    <mergeCell ref="U21:AD21"/>
    <mergeCell ref="AE21:AG21"/>
    <mergeCell ref="AH21:AK21"/>
    <mergeCell ref="B22:I22"/>
    <mergeCell ref="J22:AD22"/>
    <mergeCell ref="AE22:AG22"/>
    <mergeCell ref="AH22:AK22"/>
    <mergeCell ref="B23:AK23"/>
    <mergeCell ref="N10:AK10"/>
    <mergeCell ref="B10:K10"/>
    <mergeCell ref="L10:M10"/>
    <mergeCell ref="B14:J14"/>
    <mergeCell ref="K14:O14"/>
    <mergeCell ref="P14:AK14"/>
  </mergeCells>
  <conditionalFormatting sqref="D9:K9 O9:P9 V9:X9">
    <cfRule type="containsBlanks" dxfId="8" priority="8">
      <formula>LEN(TRIM(D9))=0</formula>
    </cfRule>
  </conditionalFormatting>
  <conditionalFormatting sqref="I17 U17 AG17">
    <cfRule type="cellIs" dxfId="7" priority="15" operator="lessThan">
      <formula>0</formula>
    </cfRule>
    <cfRule type="cellIs" dxfId="6" priority="16" operator="greaterThan">
      <formula>0</formula>
    </cfRule>
  </conditionalFormatting>
  <conditionalFormatting sqref="K1 AB16">
    <cfRule type="cellIs" dxfId="5" priority="3" operator="lessThan">
      <formula>0</formula>
    </cfRule>
  </conditionalFormatting>
  <conditionalFormatting sqref="K16 AB16">
    <cfRule type="cellIs" dxfId="4" priority="5" operator="greaterThanOrEqual">
      <formula>0</formula>
    </cfRule>
  </conditionalFormatting>
  <conditionalFormatting sqref="L10:M10">
    <cfRule type="containsBlanks" dxfId="3" priority="7">
      <formula>LEN(TRIM(L10))=0</formula>
    </cfRule>
  </conditionalFormatting>
  <conditionalFormatting sqref="P5:X5 AA5:AE5 AI5:AK5 E5:L6">
    <cfRule type="containsBlanks" dxfId="2" priority="12">
      <formula>LEN(TRIM(E5))=0</formula>
    </cfRule>
  </conditionalFormatting>
  <conditionalFormatting sqref="AE6:AF6">
    <cfRule type="containsBlanks" dxfId="1" priority="1">
      <formula>LEN(TRIM(AE6))=0</formula>
    </cfRule>
  </conditionalFormatting>
  <pageMargins left="0.25" right="0.25" top="0.75" bottom="0.75" header="0" footer="0"/>
  <pageSetup scale="93" fitToHeight="0" orientation="portrait" horizontalDpi="1200" verticalDpi="1200" r:id="rId1"/>
  <rowBreaks count="1" manualBreakCount="1">
    <brk id="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A39040-287E-4176-A840-1EF66195C6B1}">
          <x14:formula1>
            <xm:f>Lists!$S$25:$S$31</xm:f>
          </x14:formula1>
          <xm:sqref>E6:L6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0EC-EE54-499B-9558-52D89AB52220}">
  <sheetPr>
    <tabColor rgb="FF00B0F0"/>
  </sheetPr>
  <dimension ref="A2:AE28"/>
  <sheetViews>
    <sheetView showGridLines="0" topLeftCell="B1" zoomScale="85" zoomScaleNormal="85" workbookViewId="0">
      <selection activeCell="G8" sqref="G8"/>
    </sheetView>
  </sheetViews>
  <sheetFormatPr defaultRowHeight="15" x14ac:dyDescent="0.25"/>
  <cols>
    <col min="1" max="1" width="2.5703125" customWidth="1"/>
    <col min="2" max="2" width="15" customWidth="1"/>
    <col min="3" max="3" width="14.5703125" customWidth="1"/>
    <col min="4" max="4" width="16.42578125" customWidth="1"/>
    <col min="5" max="5" width="13.42578125" customWidth="1"/>
    <col min="6" max="6" width="34.42578125" customWidth="1"/>
    <col min="7" max="31" width="14.140625" customWidth="1"/>
  </cols>
  <sheetData>
    <row r="2" spans="2:16" x14ac:dyDescent="0.25">
      <c r="B2" s="7" t="s">
        <v>1047</v>
      </c>
      <c r="F2" s="7" t="s">
        <v>1048</v>
      </c>
      <c r="I2" s="7" t="s">
        <v>1445</v>
      </c>
      <c r="M2" s="7" t="s">
        <v>1446</v>
      </c>
    </row>
    <row r="3" spans="2:16" x14ac:dyDescent="0.25">
      <c r="B3" s="401" t="s">
        <v>1049</v>
      </c>
      <c r="C3" s="402"/>
      <c r="D3" s="403">
        <f>-Y26+IF(AND(ISNUMBER(MATCH("Natural Gas",$E$25:$E$25,0)),G10="Total"),G9*12,0)</f>
        <v>204.10987799261054</v>
      </c>
      <c r="F3" s="229" t="s">
        <v>1050</v>
      </c>
      <c r="G3" s="404">
        <f ca="1">TODAY()</f>
        <v>46190</v>
      </c>
      <c r="I3" s="401" t="s">
        <v>1447</v>
      </c>
      <c r="J3" s="402"/>
      <c r="K3" s="405" t="str">
        <f>VLOOKUP('[18]Project Details'!AI5,'[18]Heating and Cooling Zip Codes'!A2:B962,2,FALSE)</f>
        <v>3 (Springfield)</v>
      </c>
      <c r="M3" s="401" t="s">
        <v>36</v>
      </c>
      <c r="N3" s="402"/>
      <c r="O3" s="476">
        <f>'[18]Project Details'!N19</f>
        <v>0</v>
      </c>
      <c r="P3" s="477" t="s">
        <v>1448</v>
      </c>
    </row>
    <row r="4" spans="2:16" x14ac:dyDescent="0.25">
      <c r="B4" s="401" t="s">
        <v>1051</v>
      </c>
      <c r="C4" s="402"/>
      <c r="D4" s="406">
        <f>-T26</f>
        <v>16938297.952947713</v>
      </c>
      <c r="F4" s="229" t="s">
        <v>1052</v>
      </c>
      <c r="G4" s="405" t="s">
        <v>1053</v>
      </c>
      <c r="M4" s="401" t="s">
        <v>1449</v>
      </c>
      <c r="N4" s="402"/>
      <c r="O4" s="476">
        <f>'[18]Project Details'!N20</f>
        <v>0</v>
      </c>
      <c r="P4" t="s">
        <v>1450</v>
      </c>
    </row>
    <row r="5" spans="2:16" ht="15" customHeight="1" x14ac:dyDescent="0.25">
      <c r="B5" s="401" t="s">
        <v>1054</v>
      </c>
      <c r="C5" s="402"/>
      <c r="D5" s="406">
        <f>AB26</f>
        <v>4964.3311702660358</v>
      </c>
      <c r="F5" s="229" t="s">
        <v>1055</v>
      </c>
      <c r="G5" s="405" t="s">
        <v>1056</v>
      </c>
      <c r="I5" s="7" t="s">
        <v>1451</v>
      </c>
      <c r="M5" s="401" t="s">
        <v>1452</v>
      </c>
      <c r="N5" s="402"/>
      <c r="O5" s="476">
        <f>'[18]Project Details'!N21</f>
        <v>0</v>
      </c>
      <c r="P5" t="s">
        <v>1450</v>
      </c>
    </row>
    <row r="6" spans="2:16" x14ac:dyDescent="0.25">
      <c r="B6" s="401" t="s">
        <v>394</v>
      </c>
      <c r="C6" s="402"/>
      <c r="D6" s="403">
        <f>G26</f>
        <v>0</v>
      </c>
      <c r="F6" s="229" t="s">
        <v>1057</v>
      </c>
      <c r="G6" s="407">
        <v>0.14653849999999999</v>
      </c>
      <c r="H6" t="s">
        <v>1058</v>
      </c>
      <c r="I6" s="401" t="s">
        <v>1453</v>
      </c>
      <c r="J6" s="402"/>
      <c r="K6" s="408">
        <f>'[18]Project Details'!M13</f>
        <v>0</v>
      </c>
      <c r="M6" s="401" t="s">
        <v>1454</v>
      </c>
      <c r="N6" s="402"/>
      <c r="O6" s="476">
        <f>'[18]Project Details'!N22</f>
        <v>0</v>
      </c>
      <c r="P6" t="s">
        <v>1450</v>
      </c>
    </row>
    <row r="7" spans="2:16" x14ac:dyDescent="0.25">
      <c r="B7" s="401" t="s">
        <v>1059</v>
      </c>
      <c r="C7" s="402"/>
      <c r="D7" s="409">
        <f>D6/D5</f>
        <v>0</v>
      </c>
      <c r="F7" s="229" t="s">
        <v>1060</v>
      </c>
      <c r="G7" s="407">
        <v>0.21500050000000001</v>
      </c>
      <c r="H7" t="s">
        <v>1058</v>
      </c>
      <c r="I7" s="401" t="s">
        <v>1061</v>
      </c>
      <c r="J7" s="402"/>
      <c r="K7" s="478">
        <f>'[18]Project Details'!O15/100</f>
        <v>0</v>
      </c>
      <c r="M7" s="401" t="s">
        <v>1455</v>
      </c>
      <c r="N7" s="402"/>
      <c r="O7" s="476">
        <v>0</v>
      </c>
      <c r="P7" t="s">
        <v>1450</v>
      </c>
    </row>
    <row r="8" spans="2:16" x14ac:dyDescent="0.25">
      <c r="B8" s="401" t="s">
        <v>1062</v>
      </c>
      <c r="C8" s="402"/>
      <c r="D8" s="410">
        <f>AE26</f>
        <v>1975.8524562113507</v>
      </c>
      <c r="F8" s="229" t="s">
        <v>30</v>
      </c>
      <c r="G8" s="407">
        <f>(1.20502*10)*IFERROR(INDEX(Lists!$T$26:$T$31,MATCH('WH Bill Analysis'!E6,Lists!$S$26:$S$31,0)),100%)</f>
        <v>12.0502</v>
      </c>
      <c r="H8" t="s">
        <v>1063</v>
      </c>
      <c r="I8" s="401" t="s">
        <v>1456</v>
      </c>
      <c r="J8" s="402"/>
      <c r="K8" s="478">
        <f>'[18]Project Details'!G10/100</f>
        <v>0</v>
      </c>
      <c r="M8" s="401" t="s">
        <v>39</v>
      </c>
      <c r="N8" s="402"/>
      <c r="O8" s="476">
        <f>'[18]Project Details'!N23</f>
        <v>0</v>
      </c>
      <c r="P8" t="s">
        <v>1450</v>
      </c>
    </row>
    <row r="9" spans="2:16" x14ac:dyDescent="0.25">
      <c r="F9" s="229" t="s">
        <v>1064</v>
      </c>
      <c r="G9" s="407">
        <v>26.58</v>
      </c>
      <c r="H9" t="s">
        <v>1065</v>
      </c>
      <c r="I9" s="401" t="s">
        <v>1066</v>
      </c>
      <c r="J9" s="402"/>
      <c r="K9" s="476">
        <f>'[18]Project Details'!AI13</f>
        <v>0</v>
      </c>
      <c r="M9" s="401" t="s">
        <v>1457</v>
      </c>
      <c r="N9" s="402"/>
      <c r="O9" s="476">
        <f>'[18]Project Details'!N24</f>
        <v>0</v>
      </c>
      <c r="P9" t="s">
        <v>1450</v>
      </c>
    </row>
    <row r="10" spans="2:16" x14ac:dyDescent="0.25">
      <c r="B10" s="7" t="s">
        <v>1067</v>
      </c>
      <c r="F10" s="411" t="s">
        <v>1068</v>
      </c>
      <c r="G10" s="412" t="s">
        <v>1069</v>
      </c>
      <c r="I10" s="401" t="s">
        <v>1458</v>
      </c>
      <c r="J10" s="402"/>
      <c r="K10" s="476">
        <f>'[18]Project Details'!Q9</f>
        <v>0</v>
      </c>
      <c r="M10" s="401" t="s">
        <v>1459</v>
      </c>
      <c r="N10" s="402"/>
      <c r="O10" s="476">
        <f>'[18]Project Details'!N25</f>
        <v>0</v>
      </c>
      <c r="P10" t="s">
        <v>1460</v>
      </c>
    </row>
    <row r="11" spans="2:16" x14ac:dyDescent="0.25">
      <c r="B11" s="405" t="s">
        <v>1070</v>
      </c>
      <c r="C11" s="413" t="s">
        <v>1071</v>
      </c>
      <c r="F11" s="229" t="s">
        <v>27</v>
      </c>
      <c r="G11" s="414">
        <v>1.84</v>
      </c>
      <c r="H11" t="s">
        <v>1072</v>
      </c>
      <c r="I11" s="401" t="s">
        <v>1461</v>
      </c>
      <c r="J11" s="402"/>
      <c r="K11" s="479" t="s">
        <v>1462</v>
      </c>
      <c r="M11" s="401" t="s">
        <v>1459</v>
      </c>
      <c r="N11" s="402"/>
      <c r="O11" s="476">
        <v>1</v>
      </c>
      <c r="P11" t="s">
        <v>1463</v>
      </c>
    </row>
    <row r="12" spans="2:16" x14ac:dyDescent="0.25">
      <c r="F12" s="229" t="s">
        <v>1073</v>
      </c>
      <c r="G12" s="414">
        <v>1.58</v>
      </c>
      <c r="H12" t="s">
        <v>1072</v>
      </c>
      <c r="M12" s="401" t="s">
        <v>1459</v>
      </c>
      <c r="N12" s="402"/>
      <c r="O12" s="476">
        <v>3</v>
      </c>
      <c r="P12" t="s">
        <v>1464</v>
      </c>
    </row>
    <row r="13" spans="2:16" x14ac:dyDescent="0.25">
      <c r="I13" s="7" t="s">
        <v>1465</v>
      </c>
    </row>
    <row r="14" spans="2:16" x14ac:dyDescent="0.25">
      <c r="I14" s="401" t="s">
        <v>1466</v>
      </c>
      <c r="J14" s="402"/>
      <c r="K14" s="408">
        <f>'[18]Project Details'!I13</f>
        <v>0</v>
      </c>
      <c r="M14" s="7" t="s">
        <v>1467</v>
      </c>
      <c r="O14" s="7" t="s">
        <v>1468</v>
      </c>
      <c r="P14" s="7" t="s">
        <v>1469</v>
      </c>
    </row>
    <row r="15" spans="2:16" x14ac:dyDescent="0.25">
      <c r="F15" t="s">
        <v>1470</v>
      </c>
      <c r="G15" s="415">
        <f>IF(ISBLANK('[18]Project Details'!Q10),'[18]Project Details'!G10,IF(2023-'[18]Project Details'!Q10&lt;30,'[18]Project Details'!G10*(1-0.01)^(2023-'[18]Project Details'!Q10),'[18]Project Details'!G10*(1-0.01)^30))/100</f>
        <v>0</v>
      </c>
      <c r="I15" s="401" t="s">
        <v>1471</v>
      </c>
      <c r="J15" s="402"/>
      <c r="K15" s="408">
        <f>'[18]Project Details'!Y10*0.95</f>
        <v>0</v>
      </c>
      <c r="L15" s="20" t="s">
        <v>1472</v>
      </c>
      <c r="M15" s="401" t="s">
        <v>1449</v>
      </c>
      <c r="N15" s="402"/>
      <c r="O15" s="408">
        <f>'[18]Project Details'!Y20</f>
        <v>0</v>
      </c>
      <c r="P15" s="408">
        <f>'[18]Project Details'!AI20</f>
        <v>0</v>
      </c>
    </row>
    <row r="16" spans="2:16" x14ac:dyDescent="0.25">
      <c r="F16" t="s">
        <v>1473</v>
      </c>
      <c r="G16">
        <f>IF(ISBLANK('[18]Project Details'!AI10),'[18]Project Details'!Y10,IF(2023-'[18]Project Details'!AI10&lt;30,'[18]Project Details'!Y10*(1-0.01)^(2023-'[18]Project Details'!AI10),'[18]Project Details'!Y10*(1-0.01)^30))</f>
        <v>0</v>
      </c>
      <c r="I16" s="401" t="s">
        <v>1474</v>
      </c>
      <c r="J16" s="402"/>
      <c r="K16" s="408">
        <f>'[18]Project Details'!Z13</f>
        <v>0</v>
      </c>
      <c r="M16" s="401" t="s">
        <v>1452</v>
      </c>
      <c r="N16" s="402"/>
      <c r="O16" s="408">
        <f>'[18]Project Details'!Y21</f>
        <v>0</v>
      </c>
      <c r="P16" s="408">
        <f>'[18]Project Details'!AI21</f>
        <v>0</v>
      </c>
    </row>
    <row r="17" spans="1:31" x14ac:dyDescent="0.25">
      <c r="I17" s="401" t="s">
        <v>1074</v>
      </c>
      <c r="J17" s="402"/>
      <c r="K17" s="408" t="str">
        <f>IF('[18]Project Details'!V9="Central Air Conditioning","Yes",IF('[18]Project Details'!V9="ASHP","Yes",IF('[18]Project Details'!V9="DHP","Yes","No")))</f>
        <v>No</v>
      </c>
      <c r="M17" s="401" t="s">
        <v>1454</v>
      </c>
      <c r="N17" s="402"/>
      <c r="O17" s="408">
        <v>1</v>
      </c>
      <c r="P17" s="408">
        <f>'[18]Project Details'!AI22</f>
        <v>0</v>
      </c>
    </row>
    <row r="18" spans="1:31" x14ac:dyDescent="0.25">
      <c r="M18" s="401" t="s">
        <v>1455</v>
      </c>
      <c r="N18" s="402"/>
      <c r="O18" s="408"/>
      <c r="P18" s="408"/>
    </row>
    <row r="19" spans="1:31" x14ac:dyDescent="0.25">
      <c r="I19" s="7" t="s">
        <v>1075</v>
      </c>
      <c r="M19" s="401" t="s">
        <v>39</v>
      </c>
      <c r="N19" s="402"/>
      <c r="O19" s="480">
        <v>1</v>
      </c>
      <c r="P19" s="480">
        <f>'[18]Project Details'!AI23</f>
        <v>0</v>
      </c>
    </row>
    <row r="20" spans="1:31" x14ac:dyDescent="0.25">
      <c r="I20" s="401" t="s">
        <v>1076</v>
      </c>
      <c r="J20" s="402"/>
      <c r="K20" s="408" t="s">
        <v>974</v>
      </c>
      <c r="M20" s="401" t="s">
        <v>1457</v>
      </c>
      <c r="N20" s="402"/>
      <c r="O20" s="480">
        <v>1</v>
      </c>
      <c r="P20" s="480">
        <f>'[18]Project Details'!AI24</f>
        <v>0</v>
      </c>
    </row>
    <row r="21" spans="1:31" x14ac:dyDescent="0.25">
      <c r="M21" s="401" t="s">
        <v>1459</v>
      </c>
      <c r="N21" s="402"/>
      <c r="O21" s="480">
        <v>1</v>
      </c>
      <c r="P21" s="480">
        <f>'[18]Project Details'!AI25</f>
        <v>0</v>
      </c>
      <c r="U21" s="416" t="e">
        <f>#REF!+#REF!+#REF!</f>
        <v>#REF!</v>
      </c>
    </row>
    <row r="22" spans="1:31" x14ac:dyDescent="0.25">
      <c r="B22" s="7" t="s">
        <v>1077</v>
      </c>
    </row>
    <row r="23" spans="1:31" ht="30" x14ac:dyDescent="0.25">
      <c r="B23" s="417" t="s">
        <v>1078</v>
      </c>
      <c r="C23" s="417" t="s">
        <v>1079</v>
      </c>
      <c r="D23" s="418" t="s">
        <v>1080</v>
      </c>
      <c r="E23" s="417" t="s">
        <v>1081</v>
      </c>
      <c r="F23" s="417" t="s">
        <v>1082</v>
      </c>
      <c r="G23" s="419" t="s">
        <v>1083</v>
      </c>
      <c r="H23" s="420" t="s">
        <v>1084</v>
      </c>
      <c r="I23" s="421"/>
      <c r="J23" s="421"/>
      <c r="K23" s="422"/>
      <c r="L23" s="420" t="s">
        <v>1085</v>
      </c>
      <c r="M23" s="421"/>
      <c r="N23" s="421"/>
      <c r="O23" s="422"/>
      <c r="P23" s="423" t="s">
        <v>1086</v>
      </c>
      <c r="Q23" s="424"/>
      <c r="R23" s="424"/>
      <c r="S23" s="424"/>
      <c r="T23" s="425"/>
      <c r="U23" s="423" t="s">
        <v>1087</v>
      </c>
      <c r="V23" s="424"/>
      <c r="W23" s="424"/>
      <c r="X23" s="424"/>
      <c r="Y23" s="425"/>
      <c r="Z23" s="420" t="s">
        <v>1088</v>
      </c>
      <c r="AA23" s="421"/>
      <c r="AB23" s="422"/>
      <c r="AC23" s="420" t="s">
        <v>1089</v>
      </c>
      <c r="AD23" s="421"/>
      <c r="AE23" s="422"/>
    </row>
    <row r="24" spans="1:31" ht="30" x14ac:dyDescent="0.25">
      <c r="B24" s="426"/>
      <c r="C24" s="426"/>
      <c r="D24" s="426"/>
      <c r="E24" s="426"/>
      <c r="F24" s="426"/>
      <c r="G24" s="426" t="s">
        <v>202</v>
      </c>
      <c r="H24" s="426" t="s">
        <v>1090</v>
      </c>
      <c r="I24" s="426" t="s">
        <v>1091</v>
      </c>
      <c r="J24" s="426" t="s">
        <v>1092</v>
      </c>
      <c r="K24" s="426" t="s">
        <v>1093</v>
      </c>
      <c r="L24" s="426" t="s">
        <v>1090</v>
      </c>
      <c r="M24" s="426" t="s">
        <v>1091</v>
      </c>
      <c r="N24" s="426" t="s">
        <v>1092</v>
      </c>
      <c r="O24" s="426" t="s">
        <v>1093</v>
      </c>
      <c r="P24" s="426" t="s">
        <v>1090</v>
      </c>
      <c r="Q24" s="426" t="s">
        <v>1091</v>
      </c>
      <c r="R24" s="426" t="s">
        <v>1092</v>
      </c>
      <c r="S24" s="426" t="s">
        <v>1093</v>
      </c>
      <c r="T24" s="426" t="s">
        <v>202</v>
      </c>
      <c r="U24" s="426" t="s">
        <v>1090</v>
      </c>
      <c r="V24" s="426" t="s">
        <v>1091</v>
      </c>
      <c r="W24" s="426" t="s">
        <v>1092</v>
      </c>
      <c r="X24" s="426" t="s">
        <v>1093</v>
      </c>
      <c r="Y24" s="426" t="s">
        <v>202</v>
      </c>
      <c r="Z24" s="426" t="s">
        <v>1090</v>
      </c>
      <c r="AA24" s="426" t="s">
        <v>1094</v>
      </c>
      <c r="AB24" s="426" t="s">
        <v>202</v>
      </c>
      <c r="AC24" s="426" t="s">
        <v>1090</v>
      </c>
      <c r="AD24" s="426" t="s">
        <v>1094</v>
      </c>
      <c r="AE24" s="426" t="s">
        <v>202</v>
      </c>
    </row>
    <row r="25" spans="1:31" x14ac:dyDescent="0.25">
      <c r="A25" s="427" t="str">
        <f t="shared" ref="A25" si="0">B25&amp;"_"&amp;C25&amp;"_"&amp;F25</f>
        <v>Residential_Hot Water_Heat Pump Water Heater</v>
      </c>
      <c r="B25" s="229" t="s">
        <v>1095</v>
      </c>
      <c r="C25" s="229" t="s">
        <v>1097</v>
      </c>
      <c r="D25" s="229" t="s">
        <v>1394</v>
      </c>
      <c r="E25" s="428" t="s">
        <v>30</v>
      </c>
      <c r="F25" s="428" t="s">
        <v>43</v>
      </c>
      <c r="G25" s="429">
        <f>'[18]Project Details'!AI31</f>
        <v>0</v>
      </c>
      <c r="H25" s="430">
        <f>IFERROR(INDEX('Algorithms_FS (2)'!$F:$F,MATCH($A25&amp;"_BTU Impact_Existing_"&amp;H$24,'Algorithms_FS (2)'!$A:$A,0)),0)</f>
        <v>-16938297.952947713</v>
      </c>
      <c r="I25" s="430">
        <f>IFERROR(INDEX('Algorithms_FS (2)'!$F:$F,MATCH($A27&amp;"_BTU Impact_Existing_"&amp;I$24,'Algorithms_FS (2)'!$A:$A,0)),0)</f>
        <v>0</v>
      </c>
      <c r="J25" s="430">
        <f>IFERROR(INDEX('Algorithms_FS (2)'!$F:$F,MATCH($A27&amp;"_BTU Impact_Existing_"&amp;J$24,'Algorithms_FS (2)'!$A:$A,0)),0)</f>
        <v>0</v>
      </c>
      <c r="K25" s="430">
        <f t="shared" ref="K25" si="1">I25+J25</f>
        <v>0</v>
      </c>
      <c r="L25" s="430">
        <f>IFERROR(INDEX('Algorithms_FS (2)'!$F:$F,MATCH($A25&amp;"_BTU Impact_New_"&amp;L$24,'Algorithms_FS (2)'!$A:$A,0)),0)</f>
        <v>0</v>
      </c>
      <c r="M25" s="430">
        <f>IFERROR(INDEX('Algorithms_FS (2)'!$F:$F,MATCH($A25&amp;"_BTU Impact_New_"&amp;M$24,'Algorithms_FS (2)'!$A:$A,0)),0)</f>
        <v>0</v>
      </c>
      <c r="N25" s="430">
        <f>IFERROR(INDEX('Algorithms_FS (2)'!$F:$F,MATCH($A25&amp;"_BTU Impact_New_"&amp;N$24,'Algorithms_FS (2)'!$A:$A,0)),0)</f>
        <v>0</v>
      </c>
      <c r="O25" s="430">
        <f t="shared" ref="O25" si="2">M25+N25</f>
        <v>0</v>
      </c>
      <c r="P25" s="430">
        <f t="shared" ref="P25" si="3">H25+L25</f>
        <v>-16938297.952947713</v>
      </c>
      <c r="Q25" s="430">
        <f t="shared" ref="Q25:S25" si="4">I25+M25</f>
        <v>0</v>
      </c>
      <c r="R25" s="430">
        <f t="shared" si="4"/>
        <v>0</v>
      </c>
      <c r="S25" s="430">
        <f t="shared" si="4"/>
        <v>0</v>
      </c>
      <c r="T25" s="430">
        <f t="shared" ref="T25" si="5">P25+Q25+R25</f>
        <v>-16938297.952947713</v>
      </c>
      <c r="U25" s="431">
        <f>(P25/INDEX('Backup_FS (2)'!$C$15:$C$18,MATCH($E25,'Backup_FS (2)'!$A$15:$A$18,0)))*INDEX($G$8:$G$12,MATCH($E25,$F$8:$F$12,0))</f>
        <v>-204.10987799261054</v>
      </c>
      <c r="V25" s="431">
        <f>(Q25/INDEX('Backup_FS (2)'!$C$15:$C$18,MATCH("Electricity",'Backup_FS (2)'!$A$15:$A$18,0)))*$G$6</f>
        <v>0</v>
      </c>
      <c r="W25" s="431">
        <f>(R25/INDEX('Backup_FS (2)'!$C$15:$C$18,MATCH("Electricity",'Backup_FS (2)'!$A$15:$A$18,0)))*$G$7</f>
        <v>0</v>
      </c>
      <c r="X25" s="431">
        <f t="shared" ref="X25" si="6">V25+W25</f>
        <v>0</v>
      </c>
      <c r="Y25" s="431">
        <f t="shared" ref="Y25" si="7">U25+V25+W25</f>
        <v>-204.10987799261054</v>
      </c>
      <c r="Z25" s="430">
        <f t="shared" ref="Z25" si="8">-P25/3412</f>
        <v>4964.3311702660358</v>
      </c>
      <c r="AA25" s="430">
        <f t="shared" ref="AA25" si="9">-S25/3412</f>
        <v>0</v>
      </c>
      <c r="AB25" s="430">
        <f t="shared" ref="AB25" si="10">Z25+AA25</f>
        <v>4964.3311702660358</v>
      </c>
      <c r="AC25" s="430">
        <f>-P25*INDEX('Backup_FS (2)'!$D$15:$D$18,MATCH($E25,'Backup_FS (2)'!$A$15:$A$18,0))</f>
        <v>1975.8524562113507</v>
      </c>
      <c r="AD25" s="430">
        <f>-Q25*'Backup_FS (2)'!$D$18</f>
        <v>0</v>
      </c>
      <c r="AE25" s="430">
        <f t="shared" ref="AE25" si="11">AC25+AD25</f>
        <v>1975.8524562113507</v>
      </c>
    </row>
    <row r="26" spans="1:31" x14ac:dyDescent="0.25">
      <c r="B26" s="401"/>
      <c r="C26" s="432"/>
      <c r="D26" s="432"/>
      <c r="E26" s="432"/>
      <c r="F26" s="402"/>
      <c r="G26" s="433">
        <f>SUM(G25:G25)</f>
        <v>0</v>
      </c>
      <c r="H26" s="401"/>
      <c r="I26" s="432"/>
      <c r="J26" s="434"/>
      <c r="K26" s="435"/>
      <c r="L26" s="401"/>
      <c r="M26" s="432"/>
      <c r="N26" s="434"/>
      <c r="O26" s="435"/>
      <c r="P26" s="401"/>
      <c r="Q26" s="432"/>
      <c r="R26" s="434"/>
      <c r="S26" s="434" t="s">
        <v>1100</v>
      </c>
      <c r="T26" s="436">
        <f>SUM(T25:T25)</f>
        <v>-16938297.952947713</v>
      </c>
      <c r="U26" s="401"/>
      <c r="V26" s="432"/>
      <c r="W26" s="434"/>
      <c r="X26" s="434" t="s">
        <v>1101</v>
      </c>
      <c r="Y26" s="437">
        <f>SUM(Y25:Y25)</f>
        <v>-204.10987799261054</v>
      </c>
      <c r="Z26" s="401"/>
      <c r="AA26" s="434" t="s">
        <v>1102</v>
      </c>
      <c r="AB26" s="438">
        <f>SUM(AB25:AB25)</f>
        <v>4964.3311702660358</v>
      </c>
      <c r="AC26" s="401"/>
      <c r="AD26" s="434" t="s">
        <v>1103</v>
      </c>
      <c r="AE26" s="438">
        <f>SUM(AE25:AE25)</f>
        <v>1975.8524562113507</v>
      </c>
    </row>
    <row r="28" spans="1:31" x14ac:dyDescent="0.25">
      <c r="S28" s="416"/>
    </row>
  </sheetData>
  <pageMargins left="0.7" right="0.7" top="0.75" bottom="0.75" header="0.3" footer="0.3"/>
  <pageSetup orientation="portrait"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1BD-7826-4257-9F33-D3656671FD54}">
  <sheetPr filterMode="1">
    <tabColor rgb="FF00B0F0"/>
  </sheetPr>
  <dimension ref="A1:Q910"/>
  <sheetViews>
    <sheetView zoomScaleNormal="100" workbookViewId="0">
      <pane ySplit="1" topLeftCell="A211" activePane="bottomLeft" state="frozen"/>
      <selection pane="bottomLeft" activeCell="F205" sqref="F205"/>
    </sheetView>
  </sheetViews>
  <sheetFormatPr defaultRowHeight="15" x14ac:dyDescent="0.25"/>
  <cols>
    <col min="1" max="1" width="2.85546875" style="441" customWidth="1"/>
    <col min="2" max="2" width="10.42578125" bestFit="1" customWidth="1"/>
    <col min="3" max="3" width="12.5703125" bestFit="1" customWidth="1"/>
    <col min="4" max="4" width="44.5703125" customWidth="1"/>
    <col min="5" max="5" width="36.85546875" style="12" bestFit="1" customWidth="1"/>
    <col min="6" max="6" width="14.5703125" customWidth="1"/>
    <col min="7" max="7" width="25.140625" style="441" customWidth="1"/>
    <col min="8" max="8" width="100.42578125" style="441" bestFit="1" customWidth="1"/>
    <col min="9" max="9" width="24.28515625" style="441" customWidth="1"/>
    <col min="10" max="10" width="15.42578125" style="441" customWidth="1"/>
    <col min="11" max="17" width="8.85546875" style="441"/>
  </cols>
  <sheetData>
    <row r="1" spans="1:10" x14ac:dyDescent="0.25">
      <c r="A1" s="439" t="s">
        <v>1067</v>
      </c>
      <c r="B1" s="7" t="s">
        <v>1078</v>
      </c>
      <c r="C1" s="7" t="s">
        <v>1079</v>
      </c>
      <c r="D1" s="7" t="s">
        <v>1104</v>
      </c>
      <c r="E1" s="440" t="s">
        <v>1105</v>
      </c>
      <c r="F1" s="7" t="s">
        <v>1106</v>
      </c>
      <c r="G1" s="439" t="s">
        <v>479</v>
      </c>
      <c r="H1" s="439" t="s">
        <v>1107</v>
      </c>
      <c r="I1" s="439" t="s">
        <v>1108</v>
      </c>
      <c r="J1" s="439" t="s">
        <v>1109</v>
      </c>
    </row>
    <row r="2" spans="1:10" hidden="1" x14ac:dyDescent="0.25">
      <c r="A2" s="441" t="str">
        <f>B2&amp;"_"&amp;C2&amp;"_"&amp;D2&amp;"_"&amp;E2</f>
        <v>Residential_HVAC_Furnace_EFLH</v>
      </c>
      <c r="B2" t="s">
        <v>1095</v>
      </c>
      <c r="C2" t="s">
        <v>91</v>
      </c>
      <c r="D2" t="s">
        <v>67</v>
      </c>
      <c r="E2" s="442" t="s">
        <v>1110</v>
      </c>
      <c r="F2" s="443">
        <f>INDEX('[18]CZ Inputs'!$G:$G,MATCH($A2&amp;"_"&amp;[18]Dashboard_FS!$K$3,'[18]CZ Inputs'!$A:$A,0))</f>
        <v>836</v>
      </c>
      <c r="G2" s="441" t="s">
        <v>1111</v>
      </c>
      <c r="H2" s="441" t="s">
        <v>1112</v>
      </c>
      <c r="I2" s="441" t="s">
        <v>1113</v>
      </c>
      <c r="J2" s="441" t="b">
        <f>_xlfn.ISFORMULA(F2)</f>
        <v>1</v>
      </c>
    </row>
    <row r="3" spans="1:10" hidden="1" x14ac:dyDescent="0.25">
      <c r="A3" s="441" t="str">
        <f t="shared" ref="A3:A73" si="0">B3&amp;"_"&amp;C3&amp;"_"&amp;D3&amp;"_"&amp;E3</f>
        <v>Residential_HVAC_Air-Source Heat Pump_Capacity_ASHPheat (Btuh_Existing)</v>
      </c>
      <c r="B3" t="s">
        <v>1095</v>
      </c>
      <c r="C3" t="s">
        <v>91</v>
      </c>
      <c r="D3" t="s">
        <v>1114</v>
      </c>
      <c r="E3" s="442" t="s">
        <v>1115</v>
      </c>
      <c r="F3" s="443">
        <f>[18]Dashboard_FS!$K$10</f>
        <v>0</v>
      </c>
      <c r="G3" s="441" t="s">
        <v>1116</v>
      </c>
      <c r="H3" s="441" t="s">
        <v>1112</v>
      </c>
      <c r="I3" s="441" t="s">
        <v>1113</v>
      </c>
      <c r="J3" s="441" t="b">
        <f t="shared" ref="J3:J80" si="1">_xlfn.ISFORMULA(F3)</f>
        <v>1</v>
      </c>
    </row>
    <row r="4" spans="1:10" hidden="1" x14ac:dyDescent="0.25">
      <c r="A4" s="441" t="str">
        <f t="shared" si="0"/>
        <v>Residential_HVAC_Air-Source Heat Pump_Heat Load Factor</v>
      </c>
      <c r="B4" t="s">
        <v>1095</v>
      </c>
      <c r="C4" t="s">
        <v>91</v>
      </c>
      <c r="D4" t="s">
        <v>1114</v>
      </c>
      <c r="E4" s="442" t="s">
        <v>1117</v>
      </c>
      <c r="F4" s="443">
        <f>IF([18]Dashboard_FS!$G$10="Partial",INDEX('[18]CZ Inputs'!$G:$G,MATCH(A4&amp;"_"&amp;[18]Dashboard_FS!$K$3,'[18]CZ Inputs'!$A:$A,0)),1)</f>
        <v>1</v>
      </c>
      <c r="G4" s="441" t="s">
        <v>1118</v>
      </c>
      <c r="H4" s="441" t="s">
        <v>1112</v>
      </c>
      <c r="I4" s="441" t="s">
        <v>1113</v>
      </c>
      <c r="J4" s="441" t="b">
        <f t="shared" si="1"/>
        <v>1</v>
      </c>
    </row>
    <row r="5" spans="1:10" hidden="1" x14ac:dyDescent="0.25">
      <c r="A5" s="441" t="str">
        <f t="shared" si="0"/>
        <v>Residential_HVAC_Air-Source Heat Pump_HeatLoad_Disp</v>
      </c>
      <c r="B5" t="s">
        <v>1095</v>
      </c>
      <c r="C5" t="s">
        <v>91</v>
      </c>
      <c r="D5" t="s">
        <v>1114</v>
      </c>
      <c r="E5" s="442" t="s">
        <v>1119</v>
      </c>
      <c r="F5" s="443">
        <f xml:space="preserve"> F2 * F3 * F4</f>
        <v>0</v>
      </c>
      <c r="H5" s="441" t="s">
        <v>1112</v>
      </c>
      <c r="I5" s="441" t="s">
        <v>1113</v>
      </c>
      <c r="J5" s="441" t="b">
        <f t="shared" si="1"/>
        <v>1</v>
      </c>
    </row>
    <row r="6" spans="1:10" hidden="1" x14ac:dyDescent="0.25">
      <c r="A6" s="441" t="str">
        <f t="shared" si="0"/>
        <v>Residential_HVAC_Air-Source Heat Pump_DuctlessSave</v>
      </c>
      <c r="B6" t="s">
        <v>1095</v>
      </c>
      <c r="C6" t="s">
        <v>91</v>
      </c>
      <c r="D6" t="s">
        <v>1114</v>
      </c>
      <c r="E6" s="444" t="s">
        <v>1120</v>
      </c>
      <c r="F6" s="445">
        <v>1</v>
      </c>
      <c r="G6" s="441" t="s">
        <v>1121</v>
      </c>
      <c r="H6" s="441" t="s">
        <v>1112</v>
      </c>
      <c r="I6" s="441" t="s">
        <v>1113</v>
      </c>
      <c r="J6" s="441" t="b">
        <f t="shared" si="1"/>
        <v>0</v>
      </c>
    </row>
    <row r="7" spans="1:10" hidden="1" x14ac:dyDescent="0.25">
      <c r="A7" s="441" t="str">
        <f t="shared" si="0"/>
        <v>Residential_HVAC_Air-Source Heat Pump_AFUEbase</v>
      </c>
      <c r="B7" t="s">
        <v>1095</v>
      </c>
      <c r="C7" t="s">
        <v>91</v>
      </c>
      <c r="D7" t="s">
        <v>1114</v>
      </c>
      <c r="E7" s="442" t="s">
        <v>1122</v>
      </c>
      <c r="F7" s="443">
        <f>[18]Dashboard_FS!$K$8</f>
        <v>0</v>
      </c>
      <c r="G7" s="441" t="s">
        <v>1116</v>
      </c>
      <c r="H7" s="441" t="s">
        <v>1112</v>
      </c>
      <c r="I7" s="441" t="s">
        <v>1113</v>
      </c>
      <c r="J7" s="441" t="b">
        <f t="shared" si="1"/>
        <v>1</v>
      </c>
    </row>
    <row r="8" spans="1:10" hidden="1" x14ac:dyDescent="0.25">
      <c r="A8" s="441" t="str">
        <f t="shared" si="0"/>
        <v>Residential_HVAC_Air-Source Heat Pump_1000000</v>
      </c>
      <c r="B8" t="s">
        <v>1095</v>
      </c>
      <c r="C8" t="s">
        <v>91</v>
      </c>
      <c r="D8" t="s">
        <v>1114</v>
      </c>
      <c r="E8" s="444">
        <v>1000000</v>
      </c>
      <c r="F8" s="445">
        <v>1000000</v>
      </c>
      <c r="H8" s="441" t="s">
        <v>1112</v>
      </c>
      <c r="I8" s="441" t="s">
        <v>1113</v>
      </c>
      <c r="J8" s="441" t="b">
        <f t="shared" si="1"/>
        <v>0</v>
      </c>
    </row>
    <row r="9" spans="1:10" hidden="1" x14ac:dyDescent="0.25">
      <c r="A9" s="441" t="str">
        <f t="shared" si="0"/>
        <v>Residential_HVAC_Air-Source Heat Pump_GasHeatReplaced</v>
      </c>
      <c r="B9" t="s">
        <v>1095</v>
      </c>
      <c r="C9" t="s">
        <v>91</v>
      </c>
      <c r="D9" t="s">
        <v>1114</v>
      </c>
      <c r="E9" s="442" t="s">
        <v>1123</v>
      </c>
      <c r="F9" s="443" t="e">
        <f xml:space="preserve"> ( F5 / F6 * 1 / F7 ) / F8</f>
        <v>#DIV/0!</v>
      </c>
      <c r="H9" s="441" t="s">
        <v>1112</v>
      </c>
      <c r="I9" s="441" t="s">
        <v>1113</v>
      </c>
      <c r="J9" s="441" t="b">
        <f t="shared" si="1"/>
        <v>1</v>
      </c>
    </row>
    <row r="10" spans="1:10" hidden="1" x14ac:dyDescent="0.25">
      <c r="A10" s="441" t="str">
        <f t="shared" si="0"/>
        <v>Residential_HVAC_Air-Source Heat Pump_FurnaceFlag</v>
      </c>
      <c r="B10" t="s">
        <v>1095</v>
      </c>
      <c r="C10" t="s">
        <v>91</v>
      </c>
      <c r="D10" t="s">
        <v>1114</v>
      </c>
      <c r="E10" s="444" t="s">
        <v>1124</v>
      </c>
      <c r="F10" s="445">
        <v>1</v>
      </c>
      <c r="G10" s="441" t="s">
        <v>1125</v>
      </c>
      <c r="H10" s="441" t="s">
        <v>1112</v>
      </c>
      <c r="I10" s="441" t="s">
        <v>1113</v>
      </c>
      <c r="J10" s="441" t="b">
        <f t="shared" si="1"/>
        <v>0</v>
      </c>
    </row>
    <row r="11" spans="1:10" hidden="1" x14ac:dyDescent="0.25">
      <c r="A11" s="441" t="str">
        <f t="shared" si="0"/>
        <v>Residential_HVAC_Furnace_EFLH</v>
      </c>
      <c r="B11" t="s">
        <v>1095</v>
      </c>
      <c r="C11" t="s">
        <v>91</v>
      </c>
      <c r="D11" t="s">
        <v>67</v>
      </c>
      <c r="E11" s="442" t="s">
        <v>1110</v>
      </c>
      <c r="F11" s="443">
        <f>INDEX('[18]CZ Inputs'!$G:$G,MATCH($A11&amp;"_"&amp;[18]Dashboard_FS!$K$3,'[18]CZ Inputs'!$A:$A,0))</f>
        <v>836</v>
      </c>
      <c r="G11" s="441" t="s">
        <v>1111</v>
      </c>
      <c r="H11" s="441" t="s">
        <v>1112</v>
      </c>
      <c r="I11" s="441" t="s">
        <v>1113</v>
      </c>
      <c r="J11" s="441" t="b">
        <f t="shared" si="1"/>
        <v>1</v>
      </c>
    </row>
    <row r="12" spans="1:10" hidden="1" x14ac:dyDescent="0.25">
      <c r="A12" s="441" t="str">
        <f t="shared" si="0"/>
        <v>Residential_HVAC_Air-Source Heat Pump_Capacity_ASHPheat</v>
      </c>
      <c r="B12" t="s">
        <v>1095</v>
      </c>
      <c r="C12" t="s">
        <v>91</v>
      </c>
      <c r="D12" t="s">
        <v>1114</v>
      </c>
      <c r="E12" s="442" t="s">
        <v>1126</v>
      </c>
      <c r="F12" s="443">
        <f>[18]Dashboard_FS!$K$9</f>
        <v>0</v>
      </c>
      <c r="G12" s="441" t="s">
        <v>1116</v>
      </c>
      <c r="H12" s="441" t="s">
        <v>1112</v>
      </c>
      <c r="I12" s="441" t="s">
        <v>1113</v>
      </c>
      <c r="J12" s="441" t="b">
        <f t="shared" si="1"/>
        <v>1</v>
      </c>
    </row>
    <row r="13" spans="1:10" hidden="1" x14ac:dyDescent="0.25">
      <c r="A13" s="441" t="str">
        <f t="shared" si="0"/>
        <v>Residential_HVAC_Air-Source Heat Pump_Heat Load Factor</v>
      </c>
      <c r="B13" t="s">
        <v>1095</v>
      </c>
      <c r="C13" t="s">
        <v>91</v>
      </c>
      <c r="D13" t="s">
        <v>1114</v>
      </c>
      <c r="E13" s="442" t="s">
        <v>1117</v>
      </c>
      <c r="F13" s="443">
        <f>IF([18]Dashboard_FS!$G$10="Partial",INDEX('[18]CZ Inputs'!$G:$G,MATCH(A13&amp;"_"&amp;[18]Dashboard_FS!$K$3,'[18]CZ Inputs'!$A:$A,0)),1)</f>
        <v>1</v>
      </c>
      <c r="G13" s="441" t="s">
        <v>1118</v>
      </c>
      <c r="H13" s="441" t="s">
        <v>1112</v>
      </c>
      <c r="I13" s="441" t="s">
        <v>1113</v>
      </c>
      <c r="J13" s="441" t="b">
        <f t="shared" si="1"/>
        <v>1</v>
      </c>
    </row>
    <row r="14" spans="1:10" hidden="1" x14ac:dyDescent="0.25">
      <c r="A14" s="441" t="str">
        <f t="shared" si="0"/>
        <v>Residential_HVAC_Air-Source Heat Pump_HeatLoad_Disp</v>
      </c>
      <c r="B14" t="s">
        <v>1095</v>
      </c>
      <c r="C14" t="s">
        <v>91</v>
      </c>
      <c r="D14" t="s">
        <v>1114</v>
      </c>
      <c r="E14" s="442" t="s">
        <v>1119</v>
      </c>
      <c r="F14" s="443">
        <f xml:space="preserve"> F11 * F12 * F13</f>
        <v>0</v>
      </c>
      <c r="H14" s="441" t="s">
        <v>1112</v>
      </c>
      <c r="I14" s="441" t="s">
        <v>1113</v>
      </c>
      <c r="J14" s="441" t="b">
        <f t="shared" si="1"/>
        <v>1</v>
      </c>
    </row>
    <row r="15" spans="1:10" hidden="1" x14ac:dyDescent="0.25">
      <c r="A15" s="441" t="str">
        <f t="shared" si="0"/>
        <v>Residential_HVAC_Air-Source Heat Pump_DuctlessSave</v>
      </c>
      <c r="B15" t="s">
        <v>1095</v>
      </c>
      <c r="C15" t="s">
        <v>91</v>
      </c>
      <c r="D15" t="s">
        <v>1114</v>
      </c>
      <c r="E15" s="444" t="s">
        <v>1120</v>
      </c>
      <c r="F15" s="445">
        <v>1</v>
      </c>
      <c r="G15" s="441" t="s">
        <v>1121</v>
      </c>
      <c r="H15" s="441" t="s">
        <v>1112</v>
      </c>
      <c r="I15" s="441" t="s">
        <v>1113</v>
      </c>
      <c r="J15" s="441" t="b">
        <f t="shared" si="1"/>
        <v>0</v>
      </c>
    </row>
    <row r="16" spans="1:10" hidden="1" x14ac:dyDescent="0.25">
      <c r="A16" s="441" t="str">
        <f t="shared" si="0"/>
        <v>Residential_HVAC_Air-Source Heat Pump_AFUEbase</v>
      </c>
      <c r="B16" t="s">
        <v>1095</v>
      </c>
      <c r="C16" t="s">
        <v>91</v>
      </c>
      <c r="D16" t="s">
        <v>1114</v>
      </c>
      <c r="E16" s="442" t="s">
        <v>1122</v>
      </c>
      <c r="F16" s="443">
        <f>[18]Dashboard_FS!$K$8</f>
        <v>0</v>
      </c>
      <c r="G16" s="441" t="s">
        <v>1116</v>
      </c>
      <c r="H16" s="441" t="s">
        <v>1112</v>
      </c>
      <c r="I16" s="441" t="s">
        <v>1113</v>
      </c>
      <c r="J16" s="441" t="b">
        <f t="shared" si="1"/>
        <v>1</v>
      </c>
    </row>
    <row r="17" spans="1:10" hidden="1" x14ac:dyDescent="0.25">
      <c r="A17" s="441" t="str">
        <f t="shared" si="0"/>
        <v>Residential_HVAC_Air-Source Heat Pump_Fe</v>
      </c>
      <c r="B17" t="s">
        <v>1095</v>
      </c>
      <c r="C17" t="s">
        <v>91</v>
      </c>
      <c r="D17" t="s">
        <v>1114</v>
      </c>
      <c r="E17" s="444" t="s">
        <v>1127</v>
      </c>
      <c r="F17" s="445">
        <v>1.8799999999999997E-2</v>
      </c>
      <c r="H17" s="441" t="s">
        <v>1112</v>
      </c>
      <c r="I17" s="441" t="s">
        <v>1113</v>
      </c>
      <c r="J17" s="441" t="b">
        <f t="shared" si="1"/>
        <v>0</v>
      </c>
    </row>
    <row r="18" spans="1:10" hidden="1" x14ac:dyDescent="0.25">
      <c r="A18" s="441" t="str">
        <f t="shared" si="0"/>
        <v>Residential_HVAC_Air-Source Heat Pump_1000000</v>
      </c>
      <c r="B18" t="s">
        <v>1095</v>
      </c>
      <c r="C18" t="s">
        <v>91</v>
      </c>
      <c r="D18" t="s">
        <v>1114</v>
      </c>
      <c r="E18" s="444">
        <v>1000000</v>
      </c>
      <c r="F18" s="445">
        <v>1000000</v>
      </c>
      <c r="H18" s="441" t="s">
        <v>1112</v>
      </c>
      <c r="I18" s="441" t="s">
        <v>1113</v>
      </c>
      <c r="J18" s="441" t="b">
        <f t="shared" si="1"/>
        <v>0</v>
      </c>
    </row>
    <row r="19" spans="1:10" hidden="1" x14ac:dyDescent="0.25">
      <c r="A19" s="441" t="str">
        <f t="shared" si="0"/>
        <v>Residential_HVAC_Air-Source Heat Pump_FurnaceFanSavings</v>
      </c>
      <c r="B19" t="s">
        <v>1095</v>
      </c>
      <c r="C19" t="s">
        <v>91</v>
      </c>
      <c r="D19" t="s">
        <v>1114</v>
      </c>
      <c r="E19" s="442" t="s">
        <v>1128</v>
      </c>
      <c r="F19" s="443" t="e">
        <f xml:space="preserve"> ( F10 * F14 / F15 * 1 / F16 * F17 ) / F18</f>
        <v>#DIV/0!</v>
      </c>
      <c r="G19" s="441" t="s">
        <v>1129</v>
      </c>
      <c r="H19" s="441" t="s">
        <v>1112</v>
      </c>
      <c r="I19" s="441" t="s">
        <v>1113</v>
      </c>
      <c r="J19" s="441" t="b">
        <f t="shared" si="1"/>
        <v>1</v>
      </c>
    </row>
    <row r="20" spans="1:10" hidden="1" x14ac:dyDescent="0.25">
      <c r="A20" s="441" t="str">
        <f t="shared" si="0"/>
        <v>Residential_HVAC_Air-Source Heat Pump_FLH_ASHPheat</v>
      </c>
      <c r="B20" t="s">
        <v>1095</v>
      </c>
      <c r="C20" t="s">
        <v>91</v>
      </c>
      <c r="D20" t="s">
        <v>1114</v>
      </c>
      <c r="E20" s="442" t="s">
        <v>1130</v>
      </c>
      <c r="F20" s="443">
        <f>INDEX('[18]CZ Inputs'!$G:$G,MATCH($A20&amp;"_"&amp;[18]Dashboard_FS!$K$3,'[18]CZ Inputs'!$A:$A,0))</f>
        <v>1708</v>
      </c>
      <c r="G20" s="441" t="s">
        <v>1111</v>
      </c>
      <c r="H20" s="441" t="s">
        <v>1112</v>
      </c>
      <c r="I20" s="441" t="s">
        <v>1113</v>
      </c>
      <c r="J20" s="441" t="b">
        <f t="shared" si="1"/>
        <v>1</v>
      </c>
    </row>
    <row r="21" spans="1:10" hidden="1" x14ac:dyDescent="0.25">
      <c r="A21" s="441" t="str">
        <f t="shared" si="0"/>
        <v>Residential_HVAC_Air-Source Heat Pump_Capacity_ASHPheat</v>
      </c>
      <c r="B21" t="s">
        <v>1095</v>
      </c>
      <c r="C21" t="s">
        <v>91</v>
      </c>
      <c r="D21" t="s">
        <v>1114</v>
      </c>
      <c r="E21" s="442" t="s">
        <v>1126</v>
      </c>
      <c r="F21" s="443">
        <f>[18]Dashboard_FS!$K$9</f>
        <v>0</v>
      </c>
      <c r="G21" s="441" t="s">
        <v>1116</v>
      </c>
      <c r="H21" s="441" t="s">
        <v>1112</v>
      </c>
      <c r="I21" s="441" t="s">
        <v>1113</v>
      </c>
      <c r="J21" s="441" t="b">
        <f t="shared" si="1"/>
        <v>1</v>
      </c>
    </row>
    <row r="22" spans="1:10" hidden="1" x14ac:dyDescent="0.25">
      <c r="A22" s="441" t="str">
        <f t="shared" si="0"/>
        <v>Residential_HVAC_Air-Source Heat Pump_Heat Load Factor</v>
      </c>
      <c r="B22" t="s">
        <v>1095</v>
      </c>
      <c r="C22" t="s">
        <v>91</v>
      </c>
      <c r="D22" t="s">
        <v>1114</v>
      </c>
      <c r="E22" s="442" t="s">
        <v>1117</v>
      </c>
      <c r="F22" s="443">
        <f>IF([18]Dashboard_FS!$G$10="Partial",INDEX('[18]CZ Inputs'!$G:$G,MATCH(A22&amp;"_"&amp;[18]Dashboard_FS!$K$3,'[18]CZ Inputs'!$A:$A,0)),1)</f>
        <v>1</v>
      </c>
      <c r="G22" s="441" t="s">
        <v>1118</v>
      </c>
      <c r="H22" s="441" t="s">
        <v>1112</v>
      </c>
      <c r="I22" s="441" t="s">
        <v>1113</v>
      </c>
      <c r="J22" s="441" t="b">
        <f t="shared" si="1"/>
        <v>1</v>
      </c>
    </row>
    <row r="23" spans="1:10" hidden="1" x14ac:dyDescent="0.25">
      <c r="A23" s="441" t="str">
        <f t="shared" si="0"/>
        <v>Residential_HVAC_Air-Source Heat Pump_HeatLoad_Disp</v>
      </c>
      <c r="B23" t="s">
        <v>1095</v>
      </c>
      <c r="C23" t="s">
        <v>91</v>
      </c>
      <c r="D23" t="s">
        <v>1114</v>
      </c>
      <c r="E23" s="442" t="s">
        <v>1119</v>
      </c>
      <c r="F23" s="443">
        <f xml:space="preserve"> F20 * F21 * F22</f>
        <v>0</v>
      </c>
      <c r="H23" s="441" t="s">
        <v>1112</v>
      </c>
      <c r="I23" s="441" t="s">
        <v>1113</v>
      </c>
      <c r="J23" s="441" t="b">
        <f t="shared" si="1"/>
        <v>1</v>
      </c>
    </row>
    <row r="24" spans="1:10" hidden="1" x14ac:dyDescent="0.25">
      <c r="A24" s="441" t="str">
        <f t="shared" si="0"/>
        <v>Residential_HVAC_Air-Source Heat Pump_HSPF2_ee</v>
      </c>
      <c r="B24" t="s">
        <v>1095</v>
      </c>
      <c r="C24" t="s">
        <v>91</v>
      </c>
      <c r="D24" t="s">
        <v>1114</v>
      </c>
      <c r="E24" s="442" t="s">
        <v>1131</v>
      </c>
      <c r="F24" s="443">
        <f>[18]Dashboard_FS!$K$6</f>
        <v>0</v>
      </c>
      <c r="G24" s="441" t="s">
        <v>1116</v>
      </c>
      <c r="H24" s="441" t="s">
        <v>1112</v>
      </c>
      <c r="I24" s="441" t="s">
        <v>1113</v>
      </c>
      <c r="J24" s="441" t="b">
        <f t="shared" si="1"/>
        <v>1</v>
      </c>
    </row>
    <row r="25" spans="1:10" hidden="1" x14ac:dyDescent="0.25">
      <c r="A25" s="441" t="str">
        <f t="shared" si="0"/>
        <v>Residential_HVAC_Air-Source Heat Pump_HSPF2_ClimateAdj</v>
      </c>
      <c r="B25" t="s">
        <v>1095</v>
      </c>
      <c r="C25" t="s">
        <v>91</v>
      </c>
      <c r="D25" t="s">
        <v>1114</v>
      </c>
      <c r="E25" s="442" t="s">
        <v>1132</v>
      </c>
      <c r="F25" s="446">
        <f>IF([18]Dashboard_FS!$G$10="Partial",1,INDEX('[18]CZ Inputs'!$G:$G,MATCH(A25&amp;"_"&amp;[18]Dashboard_FS!$K$3,'[18]CZ Inputs'!$A:$A,0)))</f>
        <v>0.91</v>
      </c>
      <c r="G25" s="441" t="s">
        <v>1133</v>
      </c>
      <c r="H25" s="441" t="s">
        <v>1112</v>
      </c>
      <c r="I25" s="441" t="s">
        <v>1113</v>
      </c>
      <c r="J25" s="441" t="b">
        <f t="shared" si="1"/>
        <v>1</v>
      </c>
    </row>
    <row r="26" spans="1:10" hidden="1" x14ac:dyDescent="0.25">
      <c r="A26" s="441" t="str">
        <f t="shared" si="0"/>
        <v>Residential_HVAC_Air-Source Heat Pump_PD_Adj</v>
      </c>
      <c r="B26" t="s">
        <v>1095</v>
      </c>
      <c r="C26" t="s">
        <v>91</v>
      </c>
      <c r="D26" t="s">
        <v>1114</v>
      </c>
      <c r="E26" s="444" t="s">
        <v>1134</v>
      </c>
      <c r="F26" s="447">
        <f>IF([18]Dashboard_FS!$G$10="Partial",INDEX('[18]CZ Inputs'!$G:$G,MATCH(A26&amp;"_"&amp;[18]Dashboard_FS!$K$3,'[18]CZ Inputs'!$A:$A,0)),1)</f>
        <v>1</v>
      </c>
      <c r="G26" s="441" t="s">
        <v>1118</v>
      </c>
      <c r="H26" s="441" t="s">
        <v>1112</v>
      </c>
      <c r="I26" s="441" t="s">
        <v>1113</v>
      </c>
      <c r="J26" s="441" t="b">
        <f t="shared" si="1"/>
        <v>1</v>
      </c>
    </row>
    <row r="27" spans="1:10" hidden="1" x14ac:dyDescent="0.25">
      <c r="A27" s="441" t="str">
        <f t="shared" si="0"/>
        <v>Residential_HVAC_Air-Source Heat Pump_DeratingHeatEff</v>
      </c>
      <c r="B27" t="s">
        <v>1095</v>
      </c>
      <c r="C27" t="s">
        <v>91</v>
      </c>
      <c r="D27" t="s">
        <v>1114</v>
      </c>
      <c r="E27" s="444" t="s">
        <v>1135</v>
      </c>
      <c r="F27" s="445">
        <v>0.1</v>
      </c>
      <c r="G27" s="441" t="s">
        <v>1136</v>
      </c>
      <c r="H27" s="441" t="s">
        <v>1112</v>
      </c>
      <c r="I27" s="441" t="s">
        <v>1113</v>
      </c>
      <c r="J27" s="441" t="b">
        <f t="shared" si="1"/>
        <v>0</v>
      </c>
    </row>
    <row r="28" spans="1:10" hidden="1" x14ac:dyDescent="0.25">
      <c r="A28" s="441" t="str">
        <f t="shared" si="0"/>
        <v>Residential_HVAC_Air-Source Heat Pump_1000</v>
      </c>
      <c r="B28" t="s">
        <v>1095</v>
      </c>
      <c r="C28" t="s">
        <v>91</v>
      </c>
      <c r="D28" t="s">
        <v>1114</v>
      </c>
      <c r="E28" s="444">
        <v>1000</v>
      </c>
      <c r="F28" s="445">
        <v>1000</v>
      </c>
      <c r="H28" s="441" t="s">
        <v>1112</v>
      </c>
      <c r="I28" s="441" t="s">
        <v>1113</v>
      </c>
      <c r="J28" s="441" t="b">
        <f t="shared" si="1"/>
        <v>0</v>
      </c>
    </row>
    <row r="29" spans="1:10" hidden="1" x14ac:dyDescent="0.25">
      <c r="A29" s="441" t="str">
        <f t="shared" si="0"/>
        <v>Residential_HVAC_Air-Source Heat Pump_3412</v>
      </c>
      <c r="B29" t="s">
        <v>1095</v>
      </c>
      <c r="C29" t="s">
        <v>91</v>
      </c>
      <c r="D29" t="s">
        <v>1114</v>
      </c>
      <c r="E29" s="444">
        <v>3412</v>
      </c>
      <c r="F29" s="445">
        <v>3412</v>
      </c>
      <c r="H29" s="441" t="s">
        <v>1112</v>
      </c>
      <c r="I29" s="441" t="s">
        <v>1113</v>
      </c>
      <c r="J29" s="441" t="b">
        <f t="shared" si="1"/>
        <v>0</v>
      </c>
    </row>
    <row r="30" spans="1:10" hidden="1" x14ac:dyDescent="0.25">
      <c r="A30" s="441" t="str">
        <f t="shared" si="0"/>
        <v>Residential_HVAC_Air-Source Heat Pump_1000000</v>
      </c>
      <c r="B30" t="s">
        <v>1095</v>
      </c>
      <c r="C30" t="s">
        <v>91</v>
      </c>
      <c r="D30" t="s">
        <v>1114</v>
      </c>
      <c r="E30" s="444">
        <v>1000000</v>
      </c>
      <c r="F30" s="445">
        <v>1000000</v>
      </c>
      <c r="H30" s="441" t="s">
        <v>1112</v>
      </c>
      <c r="I30" s="441" t="s">
        <v>1113</v>
      </c>
      <c r="J30" s="441" t="b">
        <f t="shared" si="1"/>
        <v>0</v>
      </c>
    </row>
    <row r="31" spans="1:10" hidden="1" x14ac:dyDescent="0.25">
      <c r="A31" s="441" t="str">
        <f t="shared" si="0"/>
        <v>Residential_HVAC_Air-Source Heat Pump_ASHPSiteHeatConsumed</v>
      </c>
      <c r="B31" t="s">
        <v>1095</v>
      </c>
      <c r="C31" t="s">
        <v>91</v>
      </c>
      <c r="D31" t="s">
        <v>1114</v>
      </c>
      <c r="E31" s="442" t="s">
        <v>1137</v>
      </c>
      <c r="F31" s="443" t="e">
        <f xml:space="preserve"> -(( F23 * (1/( F24 * F25 * F26 * (1 - F27 )))) / F28 * F29 )/ F30</f>
        <v>#DIV/0!</v>
      </c>
      <c r="H31" s="441" t="s">
        <v>1112</v>
      </c>
      <c r="I31" s="441" t="s">
        <v>1113</v>
      </c>
      <c r="J31" s="441" t="b">
        <f t="shared" si="1"/>
        <v>1</v>
      </c>
    </row>
    <row r="32" spans="1:10" hidden="1" x14ac:dyDescent="0.25">
      <c r="A32" s="441" t="str">
        <f t="shared" si="0"/>
        <v>Residential_HVAC_Air-Source Heat Pump_FLHcool</v>
      </c>
      <c r="B32" t="s">
        <v>1095</v>
      </c>
      <c r="C32" t="s">
        <v>91</v>
      </c>
      <c r="D32" t="s">
        <v>1114</v>
      </c>
      <c r="E32" s="442" t="s">
        <v>1138</v>
      </c>
      <c r="F32" s="443">
        <f>INDEX('[18]CZ Inputs'!$G:$G,MATCH($A32&amp;"_"&amp;[18]Dashboard_FS!$K$3,'[18]CZ Inputs'!$A:$A,0))</f>
        <v>779</v>
      </c>
      <c r="G32" s="441" t="s">
        <v>1111</v>
      </c>
      <c r="H32" s="441" t="s">
        <v>1112</v>
      </c>
      <c r="I32" s="441" t="s">
        <v>1113</v>
      </c>
      <c r="J32" s="441" t="b">
        <f t="shared" si="1"/>
        <v>1</v>
      </c>
    </row>
    <row r="33" spans="1:10" hidden="1" x14ac:dyDescent="0.25">
      <c r="A33" s="441" t="str">
        <f t="shared" si="0"/>
        <v>Residential_HVAC_Air-Source Heat Pump_Capacity_ASHPcool</v>
      </c>
      <c r="B33" t="s">
        <v>1095</v>
      </c>
      <c r="C33" t="s">
        <v>91</v>
      </c>
      <c r="D33" t="s">
        <v>1114</v>
      </c>
      <c r="E33" s="442" t="s">
        <v>1139</v>
      </c>
      <c r="F33" s="443">
        <f>[18]Dashboard_FS!$K$16</f>
        <v>0</v>
      </c>
      <c r="H33" s="441" t="s">
        <v>1112</v>
      </c>
      <c r="I33" s="441" t="s">
        <v>1113</v>
      </c>
      <c r="J33" s="441" t="b">
        <f t="shared" si="1"/>
        <v>1</v>
      </c>
    </row>
    <row r="34" spans="1:10" hidden="1" x14ac:dyDescent="0.25">
      <c r="A34" s="441" t="str">
        <f t="shared" si="0"/>
        <v>Residential_HVAC_Air-Source Heat Pump_CoolingLoad</v>
      </c>
      <c r="B34" t="s">
        <v>1095</v>
      </c>
      <c r="C34" t="s">
        <v>91</v>
      </c>
      <c r="D34" t="s">
        <v>1114</v>
      </c>
      <c r="E34" s="442" t="s">
        <v>1140</v>
      </c>
      <c r="F34" s="443">
        <f>F32*F33</f>
        <v>0</v>
      </c>
      <c r="H34" s="441" t="s">
        <v>1112</v>
      </c>
      <c r="I34" s="441" t="s">
        <v>1113</v>
      </c>
      <c r="J34" s="441" t="b">
        <f t="shared" si="1"/>
        <v>1</v>
      </c>
    </row>
    <row r="35" spans="1:10" hidden="1" x14ac:dyDescent="0.25">
      <c r="A35" s="441" t="str">
        <f t="shared" si="0"/>
        <v>Residential_HVAC_Air-Source Heat Pump_DuctlessSave</v>
      </c>
      <c r="B35" t="s">
        <v>1095</v>
      </c>
      <c r="C35" t="s">
        <v>91</v>
      </c>
      <c r="D35" t="s">
        <v>1114</v>
      </c>
      <c r="E35" s="444" t="s">
        <v>1120</v>
      </c>
      <c r="F35" s="445">
        <v>1</v>
      </c>
      <c r="G35" s="441" t="s">
        <v>1121</v>
      </c>
      <c r="H35" s="441" t="s">
        <v>1112</v>
      </c>
      <c r="I35" s="441" t="s">
        <v>1113</v>
      </c>
      <c r="J35" s="441" t="b">
        <f t="shared" si="1"/>
        <v>0</v>
      </c>
    </row>
    <row r="36" spans="1:10" hidden="1" x14ac:dyDescent="0.25">
      <c r="A36" s="441" t="str">
        <f t="shared" si="0"/>
        <v>Residential_HVAC_Air-Source Heat Pump_SEER2_base</v>
      </c>
      <c r="B36" t="s">
        <v>1095</v>
      </c>
      <c r="C36" t="s">
        <v>91</v>
      </c>
      <c r="D36" t="s">
        <v>1114</v>
      </c>
      <c r="E36" s="442" t="s">
        <v>1141</v>
      </c>
      <c r="F36" s="443">
        <f>[18]Dashboard_FS!$K$15</f>
        <v>0</v>
      </c>
      <c r="G36" s="441" t="s">
        <v>1116</v>
      </c>
      <c r="H36" s="441" t="s">
        <v>1112</v>
      </c>
      <c r="I36" s="441" t="s">
        <v>1113</v>
      </c>
      <c r="J36" s="441" t="b">
        <f t="shared" si="1"/>
        <v>1</v>
      </c>
    </row>
    <row r="37" spans="1:10" hidden="1" x14ac:dyDescent="0.25">
      <c r="A37" s="441" t="str">
        <f t="shared" si="0"/>
        <v>Residential_HVAC_Air-Source Heat Pump_DeratingCoolBase</v>
      </c>
      <c r="B37" t="s">
        <v>1095</v>
      </c>
      <c r="C37" t="s">
        <v>91</v>
      </c>
      <c r="D37" t="s">
        <v>1114</v>
      </c>
      <c r="E37" s="444" t="s">
        <v>1142</v>
      </c>
      <c r="F37" s="445">
        <v>0.1</v>
      </c>
      <c r="H37" s="441" t="s">
        <v>1112</v>
      </c>
      <c r="I37" s="441" t="s">
        <v>1113</v>
      </c>
      <c r="J37" s="441" t="b">
        <f t="shared" si="1"/>
        <v>0</v>
      </c>
    </row>
    <row r="38" spans="1:10" hidden="1" x14ac:dyDescent="0.25">
      <c r="A38" s="441" t="str">
        <f t="shared" si="0"/>
        <v>Residential_HVAC_Air-Source Heat Pump_SEER2_ee</v>
      </c>
      <c r="B38" t="s">
        <v>1095</v>
      </c>
      <c r="C38" t="s">
        <v>91</v>
      </c>
      <c r="D38" t="s">
        <v>1114</v>
      </c>
      <c r="E38" s="442" t="s">
        <v>1143</v>
      </c>
      <c r="F38" s="443">
        <f>[18]Dashboard_FS!$K$14</f>
        <v>0</v>
      </c>
      <c r="G38" s="441" t="s">
        <v>1116</v>
      </c>
      <c r="H38" s="441" t="s">
        <v>1112</v>
      </c>
      <c r="I38" s="441" t="s">
        <v>1113</v>
      </c>
      <c r="J38" s="441" t="b">
        <f t="shared" si="1"/>
        <v>1</v>
      </c>
    </row>
    <row r="39" spans="1:10" hidden="1" x14ac:dyDescent="0.25">
      <c r="A39" s="441" t="str">
        <f t="shared" si="0"/>
        <v>Residential_HVAC_Air-Source Heat Pump_DeratingCoolEff</v>
      </c>
      <c r="B39" t="s">
        <v>1095</v>
      </c>
      <c r="C39" t="s">
        <v>91</v>
      </c>
      <c r="D39" t="s">
        <v>1114</v>
      </c>
      <c r="E39" s="444" t="s">
        <v>1144</v>
      </c>
      <c r="F39" s="445">
        <v>0.1</v>
      </c>
      <c r="G39" s="441" t="s">
        <v>1136</v>
      </c>
      <c r="H39" s="441" t="s">
        <v>1112</v>
      </c>
      <c r="I39" s="441" t="s">
        <v>1113</v>
      </c>
      <c r="J39" s="441" t="b">
        <f t="shared" si="1"/>
        <v>0</v>
      </c>
    </row>
    <row r="40" spans="1:10" hidden="1" x14ac:dyDescent="0.25">
      <c r="A40" s="441" t="str">
        <f t="shared" si="0"/>
        <v>Residential_HVAC_Air-Source Heat Pump_1000</v>
      </c>
      <c r="B40" t="s">
        <v>1095</v>
      </c>
      <c r="C40" t="s">
        <v>91</v>
      </c>
      <c r="D40" t="s">
        <v>1114</v>
      </c>
      <c r="E40" s="444">
        <v>1000</v>
      </c>
      <c r="F40" s="445">
        <v>1000</v>
      </c>
      <c r="H40" s="441" t="s">
        <v>1112</v>
      </c>
      <c r="I40" s="441" t="s">
        <v>1113</v>
      </c>
      <c r="J40" s="441" t="b">
        <f t="shared" si="1"/>
        <v>0</v>
      </c>
    </row>
    <row r="41" spans="1:10" hidden="1" x14ac:dyDescent="0.25">
      <c r="A41" s="441" t="str">
        <f t="shared" si="0"/>
        <v>Residential_HVAC_Air-Source Heat Pump_3412</v>
      </c>
      <c r="B41" t="s">
        <v>1095</v>
      </c>
      <c r="C41" t="s">
        <v>91</v>
      </c>
      <c r="D41" t="s">
        <v>1114</v>
      </c>
      <c r="E41" s="444">
        <v>3412</v>
      </c>
      <c r="F41" s="445">
        <v>3412</v>
      </c>
      <c r="H41" s="441" t="s">
        <v>1112</v>
      </c>
      <c r="I41" s="441" t="s">
        <v>1113</v>
      </c>
      <c r="J41" s="441" t="b">
        <f t="shared" si="1"/>
        <v>0</v>
      </c>
    </row>
    <row r="42" spans="1:10" hidden="1" x14ac:dyDescent="0.25">
      <c r="A42" s="441" t="str">
        <f t="shared" si="0"/>
        <v>Residential_HVAC_Air-Source Heat Pump_1000000</v>
      </c>
      <c r="B42" t="s">
        <v>1095</v>
      </c>
      <c r="C42" t="s">
        <v>91</v>
      </c>
      <c r="D42" t="s">
        <v>1114</v>
      </c>
      <c r="E42" s="444">
        <v>1000000</v>
      </c>
      <c r="F42" s="445">
        <v>1000000</v>
      </c>
      <c r="H42" s="441" t="s">
        <v>1112</v>
      </c>
      <c r="I42" s="441" t="s">
        <v>1113</v>
      </c>
      <c r="J42" s="441" t="b">
        <f t="shared" si="1"/>
        <v>0</v>
      </c>
    </row>
    <row r="43" spans="1:10" hidden="1" x14ac:dyDescent="0.25">
      <c r="A43" s="441" t="str">
        <f t="shared" si="0"/>
        <v>Residential_HVAC_Air-Source Heat Pump_ASHPSiteCoolingImpact</v>
      </c>
      <c r="B43" t="s">
        <v>1095</v>
      </c>
      <c r="C43" t="s">
        <v>91</v>
      </c>
      <c r="D43" t="s">
        <v>1114</v>
      </c>
      <c r="E43" s="442" t="s">
        <v>1145</v>
      </c>
      <c r="F43" s="448" t="e">
        <f xml:space="preserve"> (( F34 / F35 * (IF([18]Dashboard_FS!$K$17="Yes",1/(F36 * (1 - F37)),0) - 1/( F38 * (1 - F39 ))))/ F40 * F41 ) / F42</f>
        <v>#DIV/0!</v>
      </c>
      <c r="H43" s="441" t="s">
        <v>1112</v>
      </c>
      <c r="I43" s="441" t="s">
        <v>1113</v>
      </c>
      <c r="J43" s="441" t="b">
        <f t="shared" si="1"/>
        <v>1</v>
      </c>
    </row>
    <row r="44" spans="1:10" hidden="1" x14ac:dyDescent="0.25">
      <c r="A44" s="441" t="str">
        <f t="shared" si="0"/>
        <v>Residential_HVAC_Air-Source Heat Pump_BTU_NewSiteCoolingImpact</v>
      </c>
      <c r="B44" t="s">
        <v>1095</v>
      </c>
      <c r="C44" t="s">
        <v>91</v>
      </c>
      <c r="D44" t="s">
        <v>1114</v>
      </c>
      <c r="E44" s="442" t="s">
        <v>1146</v>
      </c>
      <c r="F44" s="448" t="e">
        <f xml:space="preserve"> - ((( F34 / F35 * (0 - 1 / (F38 * (1 - F39 ))))/ F40 * F41 ) / F42)*10^6</f>
        <v>#DIV/0!</v>
      </c>
      <c r="H44" s="441" t="s">
        <v>1112</v>
      </c>
      <c r="I44" s="441" t="s">
        <v>1113</v>
      </c>
      <c r="J44" s="441" t="b">
        <f t="shared" si="1"/>
        <v>1</v>
      </c>
    </row>
    <row r="45" spans="1:10" hidden="1" x14ac:dyDescent="0.25">
      <c r="A45" s="441" t="str">
        <f t="shared" si="0"/>
        <v>Residential_HVAC_Air-Source Heat Pump_SiteEnergySavings (MMBTUs)</v>
      </c>
      <c r="B45" t="s">
        <v>1095</v>
      </c>
      <c r="C45" t="s">
        <v>91</v>
      </c>
      <c r="D45" t="s">
        <v>1114</v>
      </c>
      <c r="E45" s="449" t="s">
        <v>1147</v>
      </c>
      <c r="F45" s="443" t="e">
        <f xml:space="preserve"> F9 + F19 + F31 + F43</f>
        <v>#DIV/0!</v>
      </c>
      <c r="H45" s="441" t="s">
        <v>1112</v>
      </c>
      <c r="I45" s="441" t="s">
        <v>1113</v>
      </c>
      <c r="J45" s="441" t="b">
        <f t="shared" si="1"/>
        <v>1</v>
      </c>
    </row>
    <row r="46" spans="1:10" hidden="1" x14ac:dyDescent="0.25">
      <c r="A46" s="441" t="str">
        <f t="shared" si="0"/>
        <v>Residential_HVAC_Air-Source Heat Pump_Capacity_cooling</v>
      </c>
      <c r="B46" t="s">
        <v>1095</v>
      </c>
      <c r="C46" t="s">
        <v>91</v>
      </c>
      <c r="D46" t="s">
        <v>1114</v>
      </c>
      <c r="E46" s="444" t="s">
        <v>1148</v>
      </c>
      <c r="F46" s="445">
        <v>36000</v>
      </c>
      <c r="G46" s="441" t="s">
        <v>1149</v>
      </c>
      <c r="H46" s="441" t="s">
        <v>1112</v>
      </c>
      <c r="I46" s="441" t="s">
        <v>1113</v>
      </c>
      <c r="J46" s="441" t="b">
        <f t="shared" si="1"/>
        <v>0</v>
      </c>
    </row>
    <row r="47" spans="1:10" hidden="1" x14ac:dyDescent="0.25">
      <c r="A47" s="441" t="str">
        <f t="shared" si="0"/>
        <v>Residential_HVAC_Air-Source Heat Pump_EER_base</v>
      </c>
      <c r="B47" t="s">
        <v>1095</v>
      </c>
      <c r="C47" t="s">
        <v>91</v>
      </c>
      <c r="D47" t="s">
        <v>1114</v>
      </c>
      <c r="E47" s="444" t="s">
        <v>1150</v>
      </c>
      <c r="F47" s="445">
        <v>10.5</v>
      </c>
      <c r="G47" s="441" t="s">
        <v>1151</v>
      </c>
      <c r="H47" s="441" t="s">
        <v>1112</v>
      </c>
      <c r="I47" s="441" t="s">
        <v>1113</v>
      </c>
      <c r="J47" s="441" t="b">
        <f t="shared" si="1"/>
        <v>0</v>
      </c>
    </row>
    <row r="48" spans="1:10" hidden="1" x14ac:dyDescent="0.25">
      <c r="A48" s="441" t="str">
        <f t="shared" si="0"/>
        <v>Residential_HVAC_Air-Source Heat Pump_DeratingCoolBase</v>
      </c>
      <c r="B48" t="s">
        <v>1095</v>
      </c>
      <c r="C48" t="s">
        <v>91</v>
      </c>
      <c r="D48" t="s">
        <v>1114</v>
      </c>
      <c r="E48" s="444" t="s">
        <v>1142</v>
      </c>
      <c r="F48" s="445">
        <v>0.1</v>
      </c>
      <c r="H48" s="441" t="s">
        <v>1112</v>
      </c>
      <c r="I48" s="441" t="s">
        <v>1113</v>
      </c>
      <c r="J48" s="441" t="b">
        <f t="shared" si="1"/>
        <v>0</v>
      </c>
    </row>
    <row r="49" spans="1:10" hidden="1" x14ac:dyDescent="0.25">
      <c r="A49" s="441" t="str">
        <f t="shared" si="0"/>
        <v>Residential_HVAC_Air-Source Heat Pump_EER_ee</v>
      </c>
      <c r="B49" t="s">
        <v>1095</v>
      </c>
      <c r="C49" t="s">
        <v>91</v>
      </c>
      <c r="D49" t="s">
        <v>1114</v>
      </c>
      <c r="E49" s="444" t="s">
        <v>1152</v>
      </c>
      <c r="F49" s="445">
        <v>12.5</v>
      </c>
      <c r="H49" s="441" t="s">
        <v>1112</v>
      </c>
      <c r="I49" s="441" t="s">
        <v>1113</v>
      </c>
      <c r="J49" s="441" t="b">
        <f t="shared" si="1"/>
        <v>0</v>
      </c>
    </row>
    <row r="50" spans="1:10" hidden="1" x14ac:dyDescent="0.25">
      <c r="A50" s="441" t="str">
        <f t="shared" si="0"/>
        <v>Residential_HVAC_Air-Source Heat Pump_DeratingCoolEff</v>
      </c>
      <c r="B50" t="s">
        <v>1095</v>
      </c>
      <c r="C50" t="s">
        <v>91</v>
      </c>
      <c r="D50" t="s">
        <v>1114</v>
      </c>
      <c r="E50" s="444" t="s">
        <v>1144</v>
      </c>
      <c r="F50" s="445">
        <v>0.1</v>
      </c>
      <c r="H50" s="441" t="s">
        <v>1112</v>
      </c>
      <c r="I50" s="441" t="s">
        <v>1113</v>
      </c>
      <c r="J50" s="441" t="b">
        <f t="shared" si="1"/>
        <v>0</v>
      </c>
    </row>
    <row r="51" spans="1:10" hidden="1" x14ac:dyDescent="0.25">
      <c r="A51" s="441" t="str">
        <f t="shared" si="0"/>
        <v>Residential_HVAC_Air-Source Heat Pump_1000</v>
      </c>
      <c r="B51" t="s">
        <v>1095</v>
      </c>
      <c r="C51" t="s">
        <v>91</v>
      </c>
      <c r="D51" t="s">
        <v>1114</v>
      </c>
      <c r="E51" s="444">
        <v>1000</v>
      </c>
      <c r="F51" s="445">
        <v>1000</v>
      </c>
      <c r="H51" s="441" t="s">
        <v>1112</v>
      </c>
      <c r="I51" s="441" t="s">
        <v>1113</v>
      </c>
      <c r="J51" s="441" t="b">
        <f t="shared" si="1"/>
        <v>0</v>
      </c>
    </row>
    <row r="52" spans="1:10" hidden="1" x14ac:dyDescent="0.25">
      <c r="A52" s="441" t="str">
        <f t="shared" si="0"/>
        <v>Residential_HVAC_Air-Source Heat Pump_CF</v>
      </c>
      <c r="B52" t="s">
        <v>1095</v>
      </c>
      <c r="C52" t="s">
        <v>91</v>
      </c>
      <c r="D52" t="s">
        <v>1114</v>
      </c>
      <c r="E52" s="444" t="s">
        <v>1153</v>
      </c>
      <c r="F52" s="445">
        <v>0.72</v>
      </c>
      <c r="G52" s="441" t="s">
        <v>1154</v>
      </c>
      <c r="H52" s="441" t="s">
        <v>1112</v>
      </c>
      <c r="I52" s="441" t="s">
        <v>1113</v>
      </c>
      <c r="J52" s="441" t="b">
        <f t="shared" si="1"/>
        <v>0</v>
      </c>
    </row>
    <row r="53" spans="1:10" hidden="1" x14ac:dyDescent="0.25">
      <c r="A53" s="441" t="str">
        <f t="shared" si="0"/>
        <v>Residential_HVAC_Air-Source Heat Pump_Delta_kW</v>
      </c>
      <c r="B53" t="s">
        <v>1095</v>
      </c>
      <c r="C53" t="s">
        <v>91</v>
      </c>
      <c r="D53" t="s">
        <v>1114</v>
      </c>
      <c r="E53" s="442" t="s">
        <v>1155</v>
      </c>
      <c r="F53" s="443">
        <f xml:space="preserve"> ( F46 * (1/( F47 * (1 - F48 )) - 1/( F49 * (1 - F50 )))) / F51 * F52</f>
        <v>0.43885714285714256</v>
      </c>
      <c r="H53" s="441" t="s">
        <v>1112</v>
      </c>
      <c r="I53" s="441" t="s">
        <v>1113</v>
      </c>
      <c r="J53" s="441" t="b">
        <f t="shared" si="1"/>
        <v>1</v>
      </c>
    </row>
    <row r="54" spans="1:10" hidden="1" x14ac:dyDescent="0.25">
      <c r="A54" s="441" t="str">
        <f t="shared" si="0"/>
        <v>Residential_HVAC_Air-Source Heat Pump_kWh Saved per Unit</v>
      </c>
      <c r="B54" t="s">
        <v>1095</v>
      </c>
      <c r="C54" t="s">
        <v>91</v>
      </c>
      <c r="D54" t="s">
        <v>1114</v>
      </c>
      <c r="E54" s="450" t="s">
        <v>1156</v>
      </c>
      <c r="F54" s="451" t="e">
        <f>((F19+F31+F43)*10^6)/3412</f>
        <v>#DIV/0!</v>
      </c>
      <c r="H54" s="441" t="s">
        <v>1112</v>
      </c>
      <c r="I54" s="441" t="s">
        <v>1113</v>
      </c>
      <c r="J54" s="441" t="b">
        <f t="shared" si="1"/>
        <v>1</v>
      </c>
    </row>
    <row r="55" spans="1:10" hidden="1" x14ac:dyDescent="0.25">
      <c r="A55" s="441" t="str">
        <f t="shared" si="0"/>
        <v>Residential_HVAC_Air-Source Heat Pump_Coincident Peak kW Saved per Unit</v>
      </c>
      <c r="B55" t="s">
        <v>1095</v>
      </c>
      <c r="C55" t="s">
        <v>91</v>
      </c>
      <c r="D55" t="s">
        <v>1114</v>
      </c>
      <c r="E55" s="450" t="s">
        <v>1157</v>
      </c>
      <c r="F55" s="451">
        <f>F53</f>
        <v>0.43885714285714256</v>
      </c>
      <c r="H55" s="441" t="s">
        <v>1112</v>
      </c>
      <c r="I55" s="441" t="s">
        <v>1113</v>
      </c>
      <c r="J55" s="441" t="b">
        <f t="shared" si="1"/>
        <v>1</v>
      </c>
    </row>
    <row r="56" spans="1:10" hidden="1" x14ac:dyDescent="0.25">
      <c r="A56" s="441" t="str">
        <f t="shared" si="0"/>
        <v>Residential_HVAC_Air-Source Heat Pump_Propane Gal Saved per Unit</v>
      </c>
      <c r="B56" t="s">
        <v>1095</v>
      </c>
      <c r="C56" t="s">
        <v>91</v>
      </c>
      <c r="D56" t="s">
        <v>1114</v>
      </c>
      <c r="E56" s="450" t="s">
        <v>1158</v>
      </c>
      <c r="F56" s="451" t="e">
        <f>(F9*10^6)/91333</f>
        <v>#DIV/0!</v>
      </c>
      <c r="G56" s="441" t="s">
        <v>1159</v>
      </c>
      <c r="H56" s="441" t="s">
        <v>1112</v>
      </c>
      <c r="I56" s="441" t="s">
        <v>1113</v>
      </c>
      <c r="J56" s="441" t="b">
        <f t="shared" si="1"/>
        <v>1</v>
      </c>
    </row>
    <row r="57" spans="1:10" hidden="1" x14ac:dyDescent="0.25">
      <c r="A57" s="441" t="str">
        <f t="shared" si="0"/>
        <v>Residential_HVAC_Air-Source Heat Pump_Lifetime (years)</v>
      </c>
      <c r="B57" t="s">
        <v>1095</v>
      </c>
      <c r="C57" t="s">
        <v>91</v>
      </c>
      <c r="D57" t="s">
        <v>1114</v>
      </c>
      <c r="E57" s="450" t="s">
        <v>1160</v>
      </c>
      <c r="F57" s="451">
        <v>16</v>
      </c>
      <c r="H57" s="441" t="s">
        <v>1112</v>
      </c>
      <c r="I57" s="441" t="s">
        <v>1113</v>
      </c>
      <c r="J57" s="441" t="b">
        <f t="shared" si="1"/>
        <v>0</v>
      </c>
    </row>
    <row r="58" spans="1:10" hidden="1" x14ac:dyDescent="0.25">
      <c r="A58" s="441" t="str">
        <f t="shared" si="0"/>
        <v>Residential_HVAC_Air-Source Heat Pump_Incremental Cost</v>
      </c>
      <c r="B58" t="s">
        <v>1095</v>
      </c>
      <c r="C58" t="s">
        <v>91</v>
      </c>
      <c r="D58" t="s">
        <v>1114</v>
      </c>
      <c r="E58" s="450" t="s">
        <v>1161</v>
      </c>
      <c r="F58" s="452">
        <f xml:space="preserve"> 8750 + 3750</f>
        <v>12500</v>
      </c>
      <c r="G58" s="441" t="s">
        <v>1162</v>
      </c>
      <c r="H58" s="441" t="s">
        <v>1112</v>
      </c>
      <c r="I58" s="441" t="s">
        <v>1113</v>
      </c>
      <c r="J58" s="441" t="b">
        <f t="shared" si="1"/>
        <v>1</v>
      </c>
    </row>
    <row r="59" spans="1:10" hidden="1" x14ac:dyDescent="0.25">
      <c r="A59" s="441" t="str">
        <f t="shared" si="0"/>
        <v>Residential_HVAC_Air-Source Heat Pump_BTU Impact_Existing_Fossil Fuel</v>
      </c>
      <c r="B59" t="s">
        <v>1095</v>
      </c>
      <c r="C59" t="s">
        <v>91</v>
      </c>
      <c r="D59" t="s">
        <v>1114</v>
      </c>
      <c r="E59" s="450" t="s">
        <v>1163</v>
      </c>
      <c r="F59" s="451" t="e">
        <f>-F9*10^6</f>
        <v>#DIV/0!</v>
      </c>
      <c r="H59" s="441" t="s">
        <v>1112</v>
      </c>
      <c r="I59" s="441" t="s">
        <v>1113</v>
      </c>
      <c r="J59" s="441" t="b">
        <f t="shared" si="1"/>
        <v>1</v>
      </c>
    </row>
    <row r="60" spans="1:10" hidden="1" x14ac:dyDescent="0.25">
      <c r="A60" s="441" t="str">
        <f t="shared" si="0"/>
        <v>Residential_HVAC_Air-Source Heat Pump_BTU Impact_Existing_Winter Electricity</v>
      </c>
      <c r="B60" t="s">
        <v>1095</v>
      </c>
      <c r="C60" t="s">
        <v>91</v>
      </c>
      <c r="D60" t="s">
        <v>1114</v>
      </c>
      <c r="E60" s="450" t="s">
        <v>1164</v>
      </c>
      <c r="F60" s="451" t="e">
        <f>-F19*10^6</f>
        <v>#DIV/0!</v>
      </c>
      <c r="H60" s="441" t="s">
        <v>1112</v>
      </c>
      <c r="I60" s="441" t="s">
        <v>1113</v>
      </c>
      <c r="J60" s="441" t="b">
        <f t="shared" si="1"/>
        <v>1</v>
      </c>
    </row>
    <row r="61" spans="1:10" hidden="1" x14ac:dyDescent="0.25">
      <c r="A61" s="441" t="str">
        <f t="shared" si="0"/>
        <v>Residential_HVAC_Air-Source Heat Pump_BTU Impact_Existing_Summer Electricity</v>
      </c>
      <c r="B61" t="s">
        <v>1095</v>
      </c>
      <c r="C61" t="s">
        <v>91</v>
      </c>
      <c r="D61" t="s">
        <v>1114</v>
      </c>
      <c r="E61" s="450" t="s">
        <v>1165</v>
      </c>
      <c r="F61" s="451">
        <f xml:space="preserve"> -((( F34 / F35 * (IF([18]Dashboard_FS!$K$17="Yes",1/(F36 * (1 - F37)),0) - 0))/ F40 * F41 ) / F42)*10^6</f>
        <v>0</v>
      </c>
      <c r="H61" s="441" t="s">
        <v>1112</v>
      </c>
      <c r="I61" s="441" t="s">
        <v>1113</v>
      </c>
      <c r="J61" s="441" t="b">
        <f t="shared" si="1"/>
        <v>1</v>
      </c>
    </row>
    <row r="62" spans="1:10" hidden="1" x14ac:dyDescent="0.25">
      <c r="A62" s="441" t="str">
        <f t="shared" si="0"/>
        <v>Residential_HVAC_Air-Source Heat Pump_BTU Impact_New_Fossil Fuel</v>
      </c>
      <c r="B62" t="s">
        <v>1095</v>
      </c>
      <c r="C62" t="s">
        <v>91</v>
      </c>
      <c r="D62" t="s">
        <v>1114</v>
      </c>
      <c r="E62" s="450" t="s">
        <v>1166</v>
      </c>
      <c r="F62" s="451">
        <v>0</v>
      </c>
      <c r="H62" s="441" t="s">
        <v>1112</v>
      </c>
      <c r="I62" s="441" t="s">
        <v>1113</v>
      </c>
      <c r="J62" s="441" t="b">
        <f t="shared" si="1"/>
        <v>0</v>
      </c>
    </row>
    <row r="63" spans="1:10" hidden="1" x14ac:dyDescent="0.25">
      <c r="A63" s="441" t="str">
        <f t="shared" si="0"/>
        <v>Residential_HVAC_Air-Source Heat Pump_BTU Impact_New_Winter Electricity</v>
      </c>
      <c r="B63" t="s">
        <v>1095</v>
      </c>
      <c r="C63" t="s">
        <v>91</v>
      </c>
      <c r="D63" t="s">
        <v>1114</v>
      </c>
      <c r="E63" s="450" t="s">
        <v>1167</v>
      </c>
      <c r="F63" s="451" t="e">
        <f>-F31*10^6</f>
        <v>#DIV/0!</v>
      </c>
      <c r="H63" s="441" t="s">
        <v>1112</v>
      </c>
      <c r="I63" s="441" t="s">
        <v>1113</v>
      </c>
      <c r="J63" s="441" t="b">
        <f t="shared" si="1"/>
        <v>1</v>
      </c>
    </row>
    <row r="64" spans="1:10" hidden="1" x14ac:dyDescent="0.25">
      <c r="A64" s="441" t="str">
        <f t="shared" si="0"/>
        <v>Residential_HVAC_Air-Source Heat Pump_BTU Impact_New_Summer Electricity</v>
      </c>
      <c r="B64" t="s">
        <v>1095</v>
      </c>
      <c r="C64" t="s">
        <v>91</v>
      </c>
      <c r="D64" t="s">
        <v>1114</v>
      </c>
      <c r="E64" s="450" t="s">
        <v>1168</v>
      </c>
      <c r="F64" s="451" t="e">
        <f xml:space="preserve"> - ((( F34 / F35 * (0 - 1/( F38 * (1 - F39 ))))/ F40 * F41 ) / F42)*10^6</f>
        <v>#DIV/0!</v>
      </c>
      <c r="H64" s="441" t="s">
        <v>1112</v>
      </c>
      <c r="I64" s="441" t="s">
        <v>1113</v>
      </c>
      <c r="J64" s="441" t="b">
        <f t="shared" si="1"/>
        <v>1</v>
      </c>
    </row>
    <row r="65" spans="1:10" hidden="1" x14ac:dyDescent="0.25">
      <c r="A65" s="441" t="str">
        <f t="shared" si="0"/>
        <v>Residential_HVAC_Air-Source Heat Pump_</v>
      </c>
      <c r="B65" t="s">
        <v>1095</v>
      </c>
      <c r="C65" t="s">
        <v>91</v>
      </c>
      <c r="D65" t="s">
        <v>1114</v>
      </c>
      <c r="J65" s="441" t="b">
        <f t="shared" si="1"/>
        <v>0</v>
      </c>
    </row>
    <row r="66" spans="1:10" hidden="1" x14ac:dyDescent="0.25">
      <c r="A66" s="441" t="str">
        <f t="shared" si="0"/>
        <v>Residential_HVAC_Boiler_EFLH</v>
      </c>
      <c r="B66" t="s">
        <v>1095</v>
      </c>
      <c r="C66" t="s">
        <v>91</v>
      </c>
      <c r="D66" t="s">
        <v>69</v>
      </c>
      <c r="E66" s="442" t="s">
        <v>1110</v>
      </c>
      <c r="F66" s="443">
        <f>INDEX('[18]CZ Inputs'!$G:$G,MATCH($A66&amp;"_"&amp;[18]Dashboard_FS!$K$3,'[18]CZ Inputs'!$A:$A,0))</f>
        <v>836</v>
      </c>
      <c r="G66" s="441" t="s">
        <v>1169</v>
      </c>
      <c r="H66" s="441" t="s">
        <v>1112</v>
      </c>
      <c r="I66" s="441" t="s">
        <v>1113</v>
      </c>
      <c r="J66" s="441" t="b">
        <f t="shared" si="1"/>
        <v>1</v>
      </c>
    </row>
    <row r="67" spans="1:10" hidden="1" x14ac:dyDescent="0.25">
      <c r="A67" s="441" t="str">
        <f t="shared" si="0"/>
        <v>Residential_HVAC_Ductless Heat Pump_Capacity_DMSHPheat (Btuh_Existing)</v>
      </c>
      <c r="B67" t="s">
        <v>1095</v>
      </c>
      <c r="C67" t="s">
        <v>91</v>
      </c>
      <c r="D67" t="s">
        <v>1170</v>
      </c>
      <c r="E67" s="442" t="s">
        <v>1171</v>
      </c>
      <c r="F67" s="443">
        <f>[18]Dashboard_FS!$K$10</f>
        <v>0</v>
      </c>
      <c r="G67" s="441" t="s">
        <v>1116</v>
      </c>
      <c r="H67" s="441" t="s">
        <v>1112</v>
      </c>
      <c r="I67" s="441" t="s">
        <v>1113</v>
      </c>
      <c r="J67" s="441" t="b">
        <f t="shared" si="1"/>
        <v>1</v>
      </c>
    </row>
    <row r="68" spans="1:10" hidden="1" x14ac:dyDescent="0.25">
      <c r="A68" s="441" t="str">
        <f t="shared" si="0"/>
        <v>Residential_HVAC_Ductless Heat Pump_Heat Load Factor</v>
      </c>
      <c r="B68" t="s">
        <v>1095</v>
      </c>
      <c r="C68" t="s">
        <v>91</v>
      </c>
      <c r="D68" t="s">
        <v>1170</v>
      </c>
      <c r="E68" s="442" t="s">
        <v>1117</v>
      </c>
      <c r="F68" s="443">
        <f>IF([18]Dashboard_FS!$G$10="Partial",INDEX('[18]CZ Inputs'!$G:$G,MATCH(A68&amp;"_"&amp;[18]Dashboard_FS!$K$3,'[18]CZ Inputs'!$A:$A,0)),1)</f>
        <v>1</v>
      </c>
      <c r="G68" s="441" t="s">
        <v>1118</v>
      </c>
      <c r="H68" s="441" t="s">
        <v>1112</v>
      </c>
      <c r="I68" s="441" t="s">
        <v>1113</v>
      </c>
      <c r="J68" s="441" t="b">
        <f t="shared" si="1"/>
        <v>1</v>
      </c>
    </row>
    <row r="69" spans="1:10" hidden="1" x14ac:dyDescent="0.25">
      <c r="A69" s="441" t="str">
        <f t="shared" si="0"/>
        <v>Residential_HVAC_Ductless Heat Pump_HeatLoad_Disp</v>
      </c>
      <c r="B69" t="s">
        <v>1095</v>
      </c>
      <c r="C69" t="s">
        <v>91</v>
      </c>
      <c r="D69" t="s">
        <v>1170</v>
      </c>
      <c r="E69" s="442" t="s">
        <v>1119</v>
      </c>
      <c r="F69" s="453">
        <f xml:space="preserve"> F66 * F67 * F68</f>
        <v>0</v>
      </c>
      <c r="G69" s="441" t="s">
        <v>1116</v>
      </c>
      <c r="H69" s="441" t="s">
        <v>1112</v>
      </c>
      <c r="I69" s="441" t="s">
        <v>1113</v>
      </c>
      <c r="J69" s="441" t="b">
        <f t="shared" si="1"/>
        <v>1</v>
      </c>
    </row>
    <row r="70" spans="1:10" hidden="1" x14ac:dyDescent="0.25">
      <c r="A70" s="441" t="str">
        <f t="shared" si="0"/>
        <v>Residential_HVAC_Ductless Heat Pump_DuctlessSave</v>
      </c>
      <c r="B70" t="s">
        <v>1095</v>
      </c>
      <c r="C70" t="s">
        <v>91</v>
      </c>
      <c r="D70" t="s">
        <v>1170</v>
      </c>
      <c r="E70" s="444" t="s">
        <v>1120</v>
      </c>
      <c r="F70" s="454">
        <v>1</v>
      </c>
      <c r="G70" s="441" t="s">
        <v>1172</v>
      </c>
      <c r="H70" s="441" t="s">
        <v>1112</v>
      </c>
      <c r="I70" s="441" t="s">
        <v>1113</v>
      </c>
      <c r="J70" s="441" t="b">
        <f t="shared" si="1"/>
        <v>0</v>
      </c>
    </row>
    <row r="71" spans="1:10" hidden="1" x14ac:dyDescent="0.25">
      <c r="A71" s="441" t="str">
        <f t="shared" si="0"/>
        <v>Residential_HVAC_Ductless Heat Pump_AFUEbase</v>
      </c>
      <c r="B71" t="s">
        <v>1095</v>
      </c>
      <c r="C71" t="s">
        <v>91</v>
      </c>
      <c r="D71" t="s">
        <v>1170</v>
      </c>
      <c r="E71" s="442" t="s">
        <v>1122</v>
      </c>
      <c r="F71" s="453">
        <f>[18]Dashboard_FS!$K$8</f>
        <v>0</v>
      </c>
      <c r="G71" s="441" t="s">
        <v>1116</v>
      </c>
      <c r="H71" s="441" t="s">
        <v>1112</v>
      </c>
      <c r="I71" s="441" t="s">
        <v>1113</v>
      </c>
      <c r="J71" s="441" t="b">
        <f t="shared" si="1"/>
        <v>1</v>
      </c>
    </row>
    <row r="72" spans="1:10" hidden="1" x14ac:dyDescent="0.25">
      <c r="A72" s="441" t="str">
        <f t="shared" si="0"/>
        <v>Residential_HVAC_Ductless Heat Pump_1000000</v>
      </c>
      <c r="B72" t="s">
        <v>1095</v>
      </c>
      <c r="C72" t="s">
        <v>91</v>
      </c>
      <c r="D72" t="s">
        <v>1170</v>
      </c>
      <c r="E72" s="444">
        <v>1000000</v>
      </c>
      <c r="F72" s="454">
        <v>1000000</v>
      </c>
      <c r="H72" s="441" t="s">
        <v>1112</v>
      </c>
      <c r="I72" s="441" t="s">
        <v>1113</v>
      </c>
      <c r="J72" s="441" t="b">
        <f t="shared" si="1"/>
        <v>0</v>
      </c>
    </row>
    <row r="73" spans="1:10" hidden="1" x14ac:dyDescent="0.25">
      <c r="A73" s="441" t="str">
        <f t="shared" si="0"/>
        <v>Residential_HVAC_Ductless Heat Pump_GasHeatReplaced</v>
      </c>
      <c r="B73" t="s">
        <v>1095</v>
      </c>
      <c r="C73" t="s">
        <v>91</v>
      </c>
      <c r="D73" t="s">
        <v>1170</v>
      </c>
      <c r="E73" s="442" t="s">
        <v>1123</v>
      </c>
      <c r="F73" s="453" t="e">
        <f xml:space="preserve"> ( F69 * F70 * 1 / F71 ) / F72</f>
        <v>#DIV/0!</v>
      </c>
      <c r="H73" s="441" t="s">
        <v>1112</v>
      </c>
      <c r="I73" s="441" t="s">
        <v>1113</v>
      </c>
      <c r="J73" s="441" t="b">
        <f t="shared" si="1"/>
        <v>1</v>
      </c>
    </row>
    <row r="74" spans="1:10" hidden="1" x14ac:dyDescent="0.25">
      <c r="A74" s="441" t="str">
        <f t="shared" ref="A74:A208" si="2">B74&amp;"_"&amp;C74&amp;"_"&amp;D74&amp;"_"&amp;E74</f>
        <v>Residential_HVAC_Ductless Heat Pump_FurnaceFlag</v>
      </c>
      <c r="B74" t="s">
        <v>1095</v>
      </c>
      <c r="C74" t="s">
        <v>91</v>
      </c>
      <c r="D74" t="s">
        <v>1170</v>
      </c>
      <c r="E74" s="444" t="s">
        <v>1124</v>
      </c>
      <c r="F74" s="454">
        <v>0</v>
      </c>
      <c r="G74" s="441" t="s">
        <v>1173</v>
      </c>
      <c r="H74" s="441" t="s">
        <v>1112</v>
      </c>
      <c r="I74" s="441" t="s">
        <v>1113</v>
      </c>
      <c r="J74" s="441" t="b">
        <f t="shared" si="1"/>
        <v>0</v>
      </c>
    </row>
    <row r="75" spans="1:10" hidden="1" x14ac:dyDescent="0.25">
      <c r="A75" s="441" t="str">
        <f t="shared" si="2"/>
        <v>Residential_HVAC_Furnace_EFLH</v>
      </c>
      <c r="B75" t="s">
        <v>1095</v>
      </c>
      <c r="C75" t="s">
        <v>91</v>
      </c>
      <c r="D75" t="s">
        <v>67</v>
      </c>
      <c r="E75" s="442" t="s">
        <v>1110</v>
      </c>
      <c r="F75" s="443">
        <f>INDEX('[18]CZ Inputs'!$G:$G,MATCH($A75&amp;"_"&amp;[18]Dashboard_FS!$K$3,'[18]CZ Inputs'!$A:$A,0))</f>
        <v>836</v>
      </c>
      <c r="G75" s="441" t="s">
        <v>1111</v>
      </c>
      <c r="H75" s="441" t="s">
        <v>1112</v>
      </c>
      <c r="I75" s="441" t="s">
        <v>1113</v>
      </c>
      <c r="J75" s="441" t="b">
        <f t="shared" si="1"/>
        <v>1</v>
      </c>
    </row>
    <row r="76" spans="1:10" hidden="1" x14ac:dyDescent="0.25">
      <c r="A76" s="441" t="str">
        <f t="shared" si="2"/>
        <v>Residential_HVAC_Ductless Heat Pump_Capacity_DMSHPheat</v>
      </c>
      <c r="B76" t="s">
        <v>1095</v>
      </c>
      <c r="C76" t="s">
        <v>91</v>
      </c>
      <c r="D76" t="s">
        <v>1170</v>
      </c>
      <c r="E76" s="442" t="s">
        <v>1174</v>
      </c>
      <c r="F76" s="453">
        <f>[18]Dashboard_FS!$K$9</f>
        <v>0</v>
      </c>
      <c r="G76" s="441" t="s">
        <v>1116</v>
      </c>
      <c r="H76" s="441" t="s">
        <v>1112</v>
      </c>
      <c r="I76" s="441" t="s">
        <v>1113</v>
      </c>
      <c r="J76" s="441" t="b">
        <f t="shared" si="1"/>
        <v>1</v>
      </c>
    </row>
    <row r="77" spans="1:10" hidden="1" x14ac:dyDescent="0.25">
      <c r="A77" s="441" t="str">
        <f t="shared" si="2"/>
        <v>Residential_HVAC_Ductless Heat Pump_Heat Load Factor</v>
      </c>
      <c r="B77" t="s">
        <v>1095</v>
      </c>
      <c r="C77" t="s">
        <v>91</v>
      </c>
      <c r="D77" t="s">
        <v>1170</v>
      </c>
      <c r="E77" s="442" t="s">
        <v>1117</v>
      </c>
      <c r="F77" s="443">
        <f>IF([18]Dashboard_FS!$G$10="Partial",INDEX('[18]CZ Inputs'!$G:$G,MATCH(A77&amp;"_"&amp;[18]Dashboard_FS!$K$3,'[18]CZ Inputs'!$A:$A,0)),1)</f>
        <v>1</v>
      </c>
      <c r="G77" s="441" t="s">
        <v>1118</v>
      </c>
      <c r="H77" s="441" t="s">
        <v>1112</v>
      </c>
      <c r="I77" s="441" t="s">
        <v>1113</v>
      </c>
      <c r="J77" s="441" t="b">
        <f t="shared" si="1"/>
        <v>1</v>
      </c>
    </row>
    <row r="78" spans="1:10" hidden="1" x14ac:dyDescent="0.25">
      <c r="A78" s="441" t="str">
        <f t="shared" si="2"/>
        <v>Residential_HVAC_Ductless Heat Pump_HeatLoad_Disp</v>
      </c>
      <c r="B78" t="s">
        <v>1095</v>
      </c>
      <c r="C78" t="s">
        <v>91</v>
      </c>
      <c r="D78" t="s">
        <v>1170</v>
      </c>
      <c r="E78" s="442" t="s">
        <v>1119</v>
      </c>
      <c r="F78" s="453">
        <f xml:space="preserve"> F75 * F76 * F77</f>
        <v>0</v>
      </c>
      <c r="H78" s="441" t="s">
        <v>1112</v>
      </c>
      <c r="I78" s="441" t="s">
        <v>1113</v>
      </c>
      <c r="J78" s="441" t="b">
        <f t="shared" si="1"/>
        <v>1</v>
      </c>
    </row>
    <row r="79" spans="1:10" hidden="1" x14ac:dyDescent="0.25">
      <c r="A79" s="441" t="str">
        <f t="shared" si="2"/>
        <v>Residential_HVAC_Ductless Heat Pump_DuctlessSave</v>
      </c>
      <c r="B79" t="s">
        <v>1095</v>
      </c>
      <c r="C79" t="s">
        <v>91</v>
      </c>
      <c r="D79" t="s">
        <v>1170</v>
      </c>
      <c r="E79" s="444" t="s">
        <v>1120</v>
      </c>
      <c r="F79" s="454">
        <v>1</v>
      </c>
      <c r="G79" s="441" t="s">
        <v>1172</v>
      </c>
      <c r="H79" s="441" t="s">
        <v>1112</v>
      </c>
      <c r="I79" s="441" t="s">
        <v>1113</v>
      </c>
      <c r="J79" s="441" t="b">
        <f t="shared" si="1"/>
        <v>0</v>
      </c>
    </row>
    <row r="80" spans="1:10" hidden="1" x14ac:dyDescent="0.25">
      <c r="A80" s="441" t="str">
        <f t="shared" si="2"/>
        <v>Residential_HVAC_Ductless Heat Pump_AFUEbase</v>
      </c>
      <c r="B80" t="s">
        <v>1095</v>
      </c>
      <c r="C80" t="s">
        <v>91</v>
      </c>
      <c r="D80" t="s">
        <v>1170</v>
      </c>
      <c r="E80" s="442" t="s">
        <v>1122</v>
      </c>
      <c r="F80" s="453">
        <f>[18]Dashboard_FS!$K$8</f>
        <v>0</v>
      </c>
      <c r="G80" s="441" t="s">
        <v>1116</v>
      </c>
      <c r="H80" s="441" t="s">
        <v>1112</v>
      </c>
      <c r="I80" s="441" t="s">
        <v>1113</v>
      </c>
      <c r="J80" s="441" t="b">
        <f t="shared" si="1"/>
        <v>1</v>
      </c>
    </row>
    <row r="81" spans="1:10" hidden="1" x14ac:dyDescent="0.25">
      <c r="A81" s="441" t="str">
        <f t="shared" si="2"/>
        <v>Residential_HVAC_Ductless Heat Pump_Fe</v>
      </c>
      <c r="B81" t="s">
        <v>1095</v>
      </c>
      <c r="C81" t="s">
        <v>91</v>
      </c>
      <c r="D81" t="s">
        <v>1170</v>
      </c>
      <c r="E81" s="444" t="s">
        <v>1127</v>
      </c>
      <c r="F81" s="455">
        <v>1.8799999999999997E-2</v>
      </c>
      <c r="H81" s="441" t="s">
        <v>1112</v>
      </c>
      <c r="I81" s="441" t="s">
        <v>1113</v>
      </c>
      <c r="J81" s="441" t="b">
        <f t="shared" ref="J81:J213" si="3">_xlfn.ISFORMULA(F81)</f>
        <v>0</v>
      </c>
    </row>
    <row r="82" spans="1:10" hidden="1" x14ac:dyDescent="0.25">
      <c r="A82" s="441" t="str">
        <f t="shared" si="2"/>
        <v>Residential_HVAC_Ductless Heat Pump_1000000</v>
      </c>
      <c r="B82" t="s">
        <v>1095</v>
      </c>
      <c r="C82" t="s">
        <v>91</v>
      </c>
      <c r="D82" t="s">
        <v>1170</v>
      </c>
      <c r="E82" s="444">
        <v>1000000</v>
      </c>
      <c r="F82" s="454">
        <v>1000000</v>
      </c>
      <c r="H82" s="441" t="s">
        <v>1112</v>
      </c>
      <c r="I82" s="441" t="s">
        <v>1113</v>
      </c>
      <c r="J82" s="441" t="b">
        <f t="shared" si="3"/>
        <v>0</v>
      </c>
    </row>
    <row r="83" spans="1:10" hidden="1" x14ac:dyDescent="0.25">
      <c r="A83" s="441" t="str">
        <f t="shared" si="2"/>
        <v>Residential_HVAC_Ductless Heat Pump_FurnaceFanSavings</v>
      </c>
      <c r="B83" t="s">
        <v>1095</v>
      </c>
      <c r="C83" t="s">
        <v>91</v>
      </c>
      <c r="D83" t="s">
        <v>1170</v>
      </c>
      <c r="E83" s="442" t="s">
        <v>1128</v>
      </c>
      <c r="F83" s="453" t="e">
        <f xml:space="preserve"> ( F74 * F78 / F79 * 1 / F80 * F81 ) / F82</f>
        <v>#DIV/0!</v>
      </c>
      <c r="H83" s="441" t="s">
        <v>1112</v>
      </c>
      <c r="I83" s="441" t="s">
        <v>1113</v>
      </c>
      <c r="J83" s="441" t="b">
        <f t="shared" si="3"/>
        <v>1</v>
      </c>
    </row>
    <row r="84" spans="1:10" hidden="1" x14ac:dyDescent="0.25">
      <c r="A84" s="441" t="str">
        <f t="shared" si="2"/>
        <v>Residential_HVAC_Ductless Heat Pump_EFLHheat_DMSHP</v>
      </c>
      <c r="B84" t="s">
        <v>1095</v>
      </c>
      <c r="C84" t="s">
        <v>91</v>
      </c>
      <c r="D84" t="s">
        <v>1170</v>
      </c>
      <c r="E84" s="442" t="s">
        <v>1175</v>
      </c>
      <c r="F84" s="443">
        <f>INDEX('[18]CZ Inputs'!$G:$G,MATCH($A84&amp;"_"&amp;[18]Dashboard_FS!$K$3,'[18]CZ Inputs'!$A:$A,0))</f>
        <v>1708</v>
      </c>
      <c r="G84" s="441" t="s">
        <v>1111</v>
      </c>
      <c r="H84" s="441" t="s">
        <v>1112</v>
      </c>
      <c r="I84" s="441" t="s">
        <v>1113</v>
      </c>
      <c r="J84" s="441" t="b">
        <f t="shared" si="3"/>
        <v>1</v>
      </c>
    </row>
    <row r="85" spans="1:10" hidden="1" x14ac:dyDescent="0.25">
      <c r="A85" s="441" t="str">
        <f t="shared" si="2"/>
        <v>Residential_HVAC_Ductless Heat Pump_Capacity_DMSHPheat</v>
      </c>
      <c r="B85" t="s">
        <v>1095</v>
      </c>
      <c r="C85" t="s">
        <v>91</v>
      </c>
      <c r="D85" t="s">
        <v>1170</v>
      </c>
      <c r="E85" s="442" t="s">
        <v>1174</v>
      </c>
      <c r="F85" s="453">
        <f>[18]Dashboard_FS!$K$9</f>
        <v>0</v>
      </c>
      <c r="G85" s="441" t="s">
        <v>1116</v>
      </c>
      <c r="H85" s="441" t="s">
        <v>1112</v>
      </c>
      <c r="I85" s="441" t="s">
        <v>1113</v>
      </c>
      <c r="J85" s="441" t="b">
        <f t="shared" si="3"/>
        <v>1</v>
      </c>
    </row>
    <row r="86" spans="1:10" hidden="1" x14ac:dyDescent="0.25">
      <c r="A86" s="441" t="str">
        <f t="shared" si="2"/>
        <v>Residential_HVAC_Ductless Heat Pump_Heat Load Factor</v>
      </c>
      <c r="B86" t="s">
        <v>1095</v>
      </c>
      <c r="C86" t="s">
        <v>91</v>
      </c>
      <c r="D86" t="s">
        <v>1170</v>
      </c>
      <c r="E86" s="442" t="s">
        <v>1117</v>
      </c>
      <c r="F86" s="443">
        <f>IF([18]Dashboard_FS!$G$10="Partial",INDEX('[18]CZ Inputs'!$G:$G,MATCH(A86&amp;"_"&amp;[18]Dashboard_FS!$K$3,'[18]CZ Inputs'!$A:$A,0)),1)</f>
        <v>1</v>
      </c>
      <c r="G86" s="441" t="s">
        <v>1118</v>
      </c>
      <c r="H86" s="441" t="s">
        <v>1112</v>
      </c>
      <c r="I86" s="441" t="s">
        <v>1113</v>
      </c>
      <c r="J86" s="441" t="b">
        <f t="shared" si="3"/>
        <v>1</v>
      </c>
    </row>
    <row r="87" spans="1:10" hidden="1" x14ac:dyDescent="0.25">
      <c r="A87" s="441" t="str">
        <f t="shared" si="2"/>
        <v>Residential_HVAC_Ductless Heat Pump_HeatLoad_Disp</v>
      </c>
      <c r="B87" t="s">
        <v>1095</v>
      </c>
      <c r="C87" t="s">
        <v>91</v>
      </c>
      <c r="D87" t="s">
        <v>1170</v>
      </c>
      <c r="E87" s="442" t="s">
        <v>1119</v>
      </c>
      <c r="F87" s="453">
        <f xml:space="preserve"> F84 * F85 * F86</f>
        <v>0</v>
      </c>
      <c r="G87" s="441" t="s">
        <v>1116</v>
      </c>
      <c r="H87" s="441" t="s">
        <v>1112</v>
      </c>
      <c r="I87" s="441" t="s">
        <v>1113</v>
      </c>
      <c r="J87" s="441" t="b">
        <f t="shared" si="3"/>
        <v>1</v>
      </c>
    </row>
    <row r="88" spans="1:10" hidden="1" x14ac:dyDescent="0.25">
      <c r="A88" s="441" t="str">
        <f t="shared" si="2"/>
        <v>Residential_HVAC_Ductless Heat Pump_HeatLoadFactorelec</v>
      </c>
      <c r="B88" t="s">
        <v>1095</v>
      </c>
      <c r="C88" t="s">
        <v>91</v>
      </c>
      <c r="D88" t="s">
        <v>1170</v>
      </c>
      <c r="E88" s="444" t="s">
        <v>1176</v>
      </c>
      <c r="F88" s="454">
        <v>1</v>
      </c>
      <c r="H88" s="441" t="s">
        <v>1112</v>
      </c>
      <c r="I88" s="441" t="s">
        <v>1113</v>
      </c>
      <c r="J88" s="441" t="b">
        <f t="shared" si="3"/>
        <v>0</v>
      </c>
    </row>
    <row r="89" spans="1:10" hidden="1" x14ac:dyDescent="0.25">
      <c r="A89" s="441" t="str">
        <f t="shared" si="2"/>
        <v>Residential_HVAC_Ductless Heat Pump_HSPF2_ee</v>
      </c>
      <c r="B89" t="s">
        <v>1095</v>
      </c>
      <c r="C89" t="s">
        <v>91</v>
      </c>
      <c r="D89" t="s">
        <v>1170</v>
      </c>
      <c r="E89" s="442" t="s">
        <v>1131</v>
      </c>
      <c r="F89" s="443">
        <f>[18]Dashboard_FS!$K$6</f>
        <v>0</v>
      </c>
      <c r="G89" s="441" t="s">
        <v>1116</v>
      </c>
      <c r="H89" s="441" t="s">
        <v>1112</v>
      </c>
      <c r="I89" s="441" t="s">
        <v>1113</v>
      </c>
      <c r="J89" s="441" t="b">
        <f t="shared" si="3"/>
        <v>1</v>
      </c>
    </row>
    <row r="90" spans="1:10" hidden="1" x14ac:dyDescent="0.25">
      <c r="A90" s="441" t="str">
        <f t="shared" si="2"/>
        <v>Residential_HVAC_Ductless Heat Pump_HSPF2_ClimateAdj</v>
      </c>
      <c r="B90" t="s">
        <v>1095</v>
      </c>
      <c r="C90" t="s">
        <v>91</v>
      </c>
      <c r="D90" t="s">
        <v>1170</v>
      </c>
      <c r="E90" s="442" t="s">
        <v>1132</v>
      </c>
      <c r="F90" s="446">
        <f>IF([18]Dashboard_FS!$G$10="Partial",1,INDEX('[18]CZ Inputs'!$G:$G,MATCH(A90&amp;"_"&amp;[18]Dashboard_FS!$K$3,'[18]CZ Inputs'!$A:$A,0)))</f>
        <v>0.91</v>
      </c>
      <c r="G90" s="441" t="s">
        <v>1133</v>
      </c>
      <c r="H90" s="441" t="s">
        <v>1112</v>
      </c>
      <c r="I90" s="441" t="s">
        <v>1113</v>
      </c>
      <c r="J90" s="441" t="b">
        <f t="shared" si="3"/>
        <v>1</v>
      </c>
    </row>
    <row r="91" spans="1:10" hidden="1" x14ac:dyDescent="0.25">
      <c r="A91" s="441" t="str">
        <f t="shared" si="2"/>
        <v>Residential_HVAC_Ductless Heat Pump_PD_Adj</v>
      </c>
      <c r="B91" t="s">
        <v>1095</v>
      </c>
      <c r="C91" t="s">
        <v>91</v>
      </c>
      <c r="D91" t="s">
        <v>1170</v>
      </c>
      <c r="E91" s="444" t="s">
        <v>1134</v>
      </c>
      <c r="F91" s="447">
        <f>IF([18]Dashboard_FS!$G$10="Partial",INDEX('[18]CZ Inputs'!$G:$G,MATCH(A91&amp;"_"&amp;[18]Dashboard_FS!$K$3,'[18]CZ Inputs'!$A:$A,0)),1)</f>
        <v>1</v>
      </c>
      <c r="G91" s="441" t="s">
        <v>1118</v>
      </c>
      <c r="H91" s="441" t="s">
        <v>1112</v>
      </c>
      <c r="I91" s="441" t="s">
        <v>1113</v>
      </c>
      <c r="J91" s="441" t="b">
        <f t="shared" si="3"/>
        <v>1</v>
      </c>
    </row>
    <row r="92" spans="1:10" hidden="1" x14ac:dyDescent="0.25">
      <c r="A92" s="441" t="str">
        <f t="shared" si="2"/>
        <v>Residential_HVAC_Ductless Heat Pump_DeratingHeatEff</v>
      </c>
      <c r="B92" t="s">
        <v>1095</v>
      </c>
      <c r="C92" t="s">
        <v>91</v>
      </c>
      <c r="D92" t="s">
        <v>1170</v>
      </c>
      <c r="E92" s="444" t="s">
        <v>1135</v>
      </c>
      <c r="F92" s="445">
        <v>0.1</v>
      </c>
      <c r="G92" s="441" t="s">
        <v>1136</v>
      </c>
      <c r="H92" s="441" t="s">
        <v>1112</v>
      </c>
      <c r="I92" s="441" t="s">
        <v>1113</v>
      </c>
      <c r="J92" s="441" t="b">
        <f t="shared" si="3"/>
        <v>0</v>
      </c>
    </row>
    <row r="93" spans="1:10" hidden="1" x14ac:dyDescent="0.25">
      <c r="A93" s="441" t="str">
        <f t="shared" si="2"/>
        <v>Residential_HVAC_Ductless Heat Pump_1000</v>
      </c>
      <c r="B93" t="s">
        <v>1095</v>
      </c>
      <c r="C93" t="s">
        <v>91</v>
      </c>
      <c r="D93" t="s">
        <v>1170</v>
      </c>
      <c r="E93" s="444">
        <v>1000</v>
      </c>
      <c r="F93" s="454">
        <v>1000</v>
      </c>
      <c r="H93" s="441" t="s">
        <v>1112</v>
      </c>
      <c r="I93" s="441" t="s">
        <v>1113</v>
      </c>
      <c r="J93" s="441" t="b">
        <f t="shared" si="3"/>
        <v>0</v>
      </c>
    </row>
    <row r="94" spans="1:10" hidden="1" x14ac:dyDescent="0.25">
      <c r="A94" s="441" t="str">
        <f t="shared" si="2"/>
        <v>Residential_HVAC_Ductless Heat Pump_3412</v>
      </c>
      <c r="B94" t="s">
        <v>1095</v>
      </c>
      <c r="C94" t="s">
        <v>91</v>
      </c>
      <c r="D94" t="s">
        <v>1170</v>
      </c>
      <c r="E94" s="444">
        <v>3412</v>
      </c>
      <c r="F94" s="454">
        <v>3412</v>
      </c>
      <c r="H94" s="441" t="s">
        <v>1112</v>
      </c>
      <c r="I94" s="441" t="s">
        <v>1113</v>
      </c>
      <c r="J94" s="441" t="b">
        <f t="shared" si="3"/>
        <v>0</v>
      </c>
    </row>
    <row r="95" spans="1:10" hidden="1" x14ac:dyDescent="0.25">
      <c r="A95" s="441" t="str">
        <f t="shared" si="2"/>
        <v>Residential_HVAC_Ductless Heat Pump_1000000</v>
      </c>
      <c r="B95" t="s">
        <v>1095</v>
      </c>
      <c r="C95" t="s">
        <v>91</v>
      </c>
      <c r="D95" t="s">
        <v>1170</v>
      </c>
      <c r="E95" s="444">
        <v>1000000</v>
      </c>
      <c r="F95" s="454">
        <v>1000000</v>
      </c>
      <c r="H95" s="441" t="s">
        <v>1112</v>
      </c>
      <c r="I95" s="441" t="s">
        <v>1113</v>
      </c>
      <c r="J95" s="441" t="b">
        <f t="shared" si="3"/>
        <v>0</v>
      </c>
    </row>
    <row r="96" spans="1:10" hidden="1" x14ac:dyDescent="0.25">
      <c r="A96" s="441" t="str">
        <f t="shared" si="2"/>
        <v>Residential_HVAC_Ductless Heat Pump_DMSHPSiteHeatConsumed</v>
      </c>
      <c r="B96" t="s">
        <v>1095</v>
      </c>
      <c r="C96" t="s">
        <v>91</v>
      </c>
      <c r="D96" t="s">
        <v>1170</v>
      </c>
      <c r="E96" s="442" t="s">
        <v>1177</v>
      </c>
      <c r="F96" s="453" t="e">
        <f xml:space="preserve"> -((F87 * (1/(F89 * F90 * F91 * (1 - F92)))) /F93 * F94)/ F95</f>
        <v>#DIV/0!</v>
      </c>
      <c r="H96" s="441" t="s">
        <v>1112</v>
      </c>
      <c r="I96" s="441" t="s">
        <v>1113</v>
      </c>
      <c r="J96" s="441" t="b">
        <f t="shared" si="3"/>
        <v>1</v>
      </c>
    </row>
    <row r="97" spans="1:10" hidden="1" x14ac:dyDescent="0.25">
      <c r="A97" s="441" t="str">
        <f t="shared" si="2"/>
        <v>Residential_HVAC_Ductless Heat Pump_EFLHcool</v>
      </c>
      <c r="B97" t="s">
        <v>1095</v>
      </c>
      <c r="C97" t="s">
        <v>91</v>
      </c>
      <c r="D97" t="s">
        <v>1170</v>
      </c>
      <c r="E97" s="442" t="s">
        <v>1178</v>
      </c>
      <c r="F97" s="443">
        <f>INDEX('[18]CZ Inputs'!$G:$G,MATCH($A97&amp;"_"&amp;[18]Dashboard_FS!$K$3,'[18]CZ Inputs'!$A:$A,0))</f>
        <v>779</v>
      </c>
      <c r="G97" s="441" t="s">
        <v>1111</v>
      </c>
      <c r="H97" s="441" t="s">
        <v>1112</v>
      </c>
      <c r="I97" s="441" t="s">
        <v>1113</v>
      </c>
      <c r="J97" s="441" t="b">
        <f t="shared" si="3"/>
        <v>1</v>
      </c>
    </row>
    <row r="98" spans="1:10" hidden="1" x14ac:dyDescent="0.25">
      <c r="A98" s="441" t="str">
        <f t="shared" si="2"/>
        <v>Residential_HVAC_Ductless Heat Pump_Capacity_DMSHPcool</v>
      </c>
      <c r="B98" t="s">
        <v>1095</v>
      </c>
      <c r="C98" t="s">
        <v>91</v>
      </c>
      <c r="D98" t="s">
        <v>1170</v>
      </c>
      <c r="E98" s="442" t="s">
        <v>1179</v>
      </c>
      <c r="F98" s="443">
        <f>[18]Dashboard_FS!$K$16</f>
        <v>0</v>
      </c>
      <c r="G98" s="441" t="s">
        <v>1149</v>
      </c>
      <c r="H98" s="441" t="s">
        <v>1112</v>
      </c>
      <c r="I98" s="441" t="s">
        <v>1113</v>
      </c>
      <c r="J98" s="441" t="b">
        <f t="shared" si="3"/>
        <v>1</v>
      </c>
    </row>
    <row r="99" spans="1:10" hidden="1" x14ac:dyDescent="0.25">
      <c r="A99" s="441" t="str">
        <f t="shared" si="2"/>
        <v>Residential_HVAC_Ductless Heat Pump_CoolingLoad</v>
      </c>
      <c r="B99" t="s">
        <v>1095</v>
      </c>
      <c r="C99" t="s">
        <v>91</v>
      </c>
      <c r="D99" t="s">
        <v>1170</v>
      </c>
      <c r="E99" s="442" t="s">
        <v>1140</v>
      </c>
      <c r="F99" s="443">
        <f>F97*F98</f>
        <v>0</v>
      </c>
      <c r="H99" s="441" t="s">
        <v>1112</v>
      </c>
      <c r="I99" s="441" t="s">
        <v>1113</v>
      </c>
      <c r="J99" s="441" t="b">
        <f t="shared" si="3"/>
        <v>1</v>
      </c>
    </row>
    <row r="100" spans="1:10" hidden="1" x14ac:dyDescent="0.25">
      <c r="A100" s="441" t="str">
        <f t="shared" si="2"/>
        <v>Residential_HVAC_Ductless Heat Pump_DuctlessSave</v>
      </c>
      <c r="B100" t="s">
        <v>1095</v>
      </c>
      <c r="C100" t="s">
        <v>91</v>
      </c>
      <c r="D100" t="s">
        <v>1170</v>
      </c>
      <c r="E100" s="444" t="s">
        <v>1120</v>
      </c>
      <c r="F100" s="454">
        <v>1</v>
      </c>
      <c r="G100" s="441" t="s">
        <v>1172</v>
      </c>
      <c r="H100" s="441" t="s">
        <v>1112</v>
      </c>
      <c r="I100" s="441" t="s">
        <v>1113</v>
      </c>
      <c r="J100" s="441" t="b">
        <f t="shared" si="3"/>
        <v>0</v>
      </c>
    </row>
    <row r="101" spans="1:10" hidden="1" x14ac:dyDescent="0.25">
      <c r="A101" s="441" t="str">
        <f t="shared" si="2"/>
        <v>Residential_HVAC_Ductless Heat Pump_SEER2_base</v>
      </c>
      <c r="B101" t="s">
        <v>1095</v>
      </c>
      <c r="C101" t="s">
        <v>91</v>
      </c>
      <c r="D101" t="s">
        <v>1170</v>
      </c>
      <c r="E101" s="442" t="s">
        <v>1141</v>
      </c>
      <c r="F101" s="443">
        <f>[18]Dashboard_FS!$K$15</f>
        <v>0</v>
      </c>
      <c r="G101" s="441" t="s">
        <v>1116</v>
      </c>
      <c r="H101" s="441" t="s">
        <v>1112</v>
      </c>
      <c r="I101" s="441" t="s">
        <v>1113</v>
      </c>
      <c r="J101" s="441" t="b">
        <f t="shared" si="3"/>
        <v>1</v>
      </c>
    </row>
    <row r="102" spans="1:10" hidden="1" x14ac:dyDescent="0.25">
      <c r="A102" s="441" t="str">
        <f t="shared" si="2"/>
        <v>Residential_HVAC_Ductless Heat Pump_DeratingCoolBase</v>
      </c>
      <c r="B102" t="s">
        <v>1095</v>
      </c>
      <c r="C102" t="s">
        <v>91</v>
      </c>
      <c r="D102" t="s">
        <v>1170</v>
      </c>
      <c r="E102" s="444" t="s">
        <v>1142</v>
      </c>
      <c r="F102" s="445">
        <v>0.1</v>
      </c>
      <c r="H102" s="441" t="s">
        <v>1112</v>
      </c>
      <c r="I102" s="441" t="s">
        <v>1113</v>
      </c>
      <c r="J102" s="441" t="b">
        <f t="shared" si="3"/>
        <v>0</v>
      </c>
    </row>
    <row r="103" spans="1:10" hidden="1" x14ac:dyDescent="0.25">
      <c r="A103" s="441" t="str">
        <f t="shared" si="2"/>
        <v>Residential_HVAC_Ductless Heat Pump_SEER2_ee</v>
      </c>
      <c r="B103" t="s">
        <v>1095</v>
      </c>
      <c r="C103" t="s">
        <v>91</v>
      </c>
      <c r="D103" t="s">
        <v>1170</v>
      </c>
      <c r="E103" s="442" t="s">
        <v>1143</v>
      </c>
      <c r="F103" s="443">
        <f>[18]Dashboard_FS!$K$14</f>
        <v>0</v>
      </c>
      <c r="G103" s="441" t="s">
        <v>1116</v>
      </c>
      <c r="H103" s="441" t="s">
        <v>1112</v>
      </c>
      <c r="I103" s="441" t="s">
        <v>1113</v>
      </c>
      <c r="J103" s="441" t="b">
        <f t="shared" si="3"/>
        <v>1</v>
      </c>
    </row>
    <row r="104" spans="1:10" hidden="1" x14ac:dyDescent="0.25">
      <c r="A104" s="441" t="str">
        <f t="shared" si="2"/>
        <v>Residential_HVAC_Ductless Heat Pump_DeratingCoolEff</v>
      </c>
      <c r="B104" t="s">
        <v>1095</v>
      </c>
      <c r="C104" t="s">
        <v>91</v>
      </c>
      <c r="D104" t="s">
        <v>1170</v>
      </c>
      <c r="E104" s="444" t="s">
        <v>1144</v>
      </c>
      <c r="F104" s="445">
        <v>0.1</v>
      </c>
      <c r="G104" s="441" t="s">
        <v>1136</v>
      </c>
      <c r="H104" s="441" t="s">
        <v>1112</v>
      </c>
      <c r="I104" s="441" t="s">
        <v>1113</v>
      </c>
      <c r="J104" s="441" t="b">
        <f t="shared" si="3"/>
        <v>0</v>
      </c>
    </row>
    <row r="105" spans="1:10" hidden="1" x14ac:dyDescent="0.25">
      <c r="A105" s="441" t="str">
        <f t="shared" si="2"/>
        <v>Residential_HVAC_Ductless Heat Pump_1000</v>
      </c>
      <c r="B105" t="s">
        <v>1095</v>
      </c>
      <c r="C105" t="s">
        <v>91</v>
      </c>
      <c r="D105" t="s">
        <v>1170</v>
      </c>
      <c r="E105" s="444">
        <v>1000</v>
      </c>
      <c r="F105" s="454">
        <v>1000</v>
      </c>
      <c r="H105" s="441" t="s">
        <v>1112</v>
      </c>
      <c r="I105" s="441" t="s">
        <v>1113</v>
      </c>
      <c r="J105" s="441" t="b">
        <f t="shared" si="3"/>
        <v>0</v>
      </c>
    </row>
    <row r="106" spans="1:10" hidden="1" x14ac:dyDescent="0.25">
      <c r="A106" s="441" t="str">
        <f t="shared" si="2"/>
        <v>Residential_HVAC_Ductless Heat Pump_3412</v>
      </c>
      <c r="B106" t="s">
        <v>1095</v>
      </c>
      <c r="C106" t="s">
        <v>91</v>
      </c>
      <c r="D106" t="s">
        <v>1170</v>
      </c>
      <c r="E106" s="444">
        <v>3412</v>
      </c>
      <c r="F106" s="454">
        <v>3412</v>
      </c>
      <c r="H106" s="441" t="s">
        <v>1112</v>
      </c>
      <c r="I106" s="441" t="s">
        <v>1113</v>
      </c>
      <c r="J106" s="441" t="b">
        <f t="shared" si="3"/>
        <v>0</v>
      </c>
    </row>
    <row r="107" spans="1:10" hidden="1" x14ac:dyDescent="0.25">
      <c r="A107" s="441" t="str">
        <f t="shared" si="2"/>
        <v>Residential_HVAC_Ductless Heat Pump_1000000</v>
      </c>
      <c r="B107" t="s">
        <v>1095</v>
      </c>
      <c r="C107" t="s">
        <v>91</v>
      </c>
      <c r="D107" t="s">
        <v>1170</v>
      </c>
      <c r="E107" s="444">
        <v>1000000</v>
      </c>
      <c r="F107" s="454">
        <v>1000000</v>
      </c>
      <c r="H107" s="441" t="s">
        <v>1112</v>
      </c>
      <c r="I107" s="441" t="s">
        <v>1113</v>
      </c>
      <c r="J107" s="441" t="b">
        <f t="shared" si="3"/>
        <v>0</v>
      </c>
    </row>
    <row r="108" spans="1:10" hidden="1" x14ac:dyDescent="0.25">
      <c r="A108" s="441" t="str">
        <f t="shared" si="2"/>
        <v>Residential_HVAC_Ductless Heat Pump_DMSHPSiteCoolingImpact</v>
      </c>
      <c r="B108" t="s">
        <v>1095</v>
      </c>
      <c r="C108" t="s">
        <v>91</v>
      </c>
      <c r="D108" t="s">
        <v>1170</v>
      </c>
      <c r="E108" s="442" t="s">
        <v>1180</v>
      </c>
      <c r="F108" s="448" t="e">
        <f xml:space="preserve"> (( F99 / F100 * (IF([18]Dashboard_FS!$K$17="Yes",1/(F101 * (1 - F102)),0) - 1/( F103 * (1 - F104 ))))/ F105 * F106 ) / F107</f>
        <v>#DIV/0!</v>
      </c>
      <c r="G108" s="441" t="s">
        <v>1181</v>
      </c>
      <c r="H108" s="441" t="s">
        <v>1112</v>
      </c>
      <c r="I108" s="441" t="s">
        <v>1113</v>
      </c>
      <c r="J108" s="441" t="b">
        <f t="shared" si="3"/>
        <v>1</v>
      </c>
    </row>
    <row r="109" spans="1:10" hidden="1" x14ac:dyDescent="0.25">
      <c r="A109" s="441" t="str">
        <f t="shared" si="2"/>
        <v>Residential_HVAC_Ductless Heat Pump_SiteEnergySavings (MMBTUs)</v>
      </c>
      <c r="B109" t="s">
        <v>1095</v>
      </c>
      <c r="C109" t="s">
        <v>91</v>
      </c>
      <c r="D109" t="s">
        <v>1170</v>
      </c>
      <c r="E109" s="449" t="s">
        <v>1147</v>
      </c>
      <c r="F109" s="453" t="e">
        <f xml:space="preserve"> F73 + F83 + F96 + F108</f>
        <v>#DIV/0!</v>
      </c>
      <c r="H109" s="441" t="s">
        <v>1112</v>
      </c>
      <c r="I109" s="441" t="s">
        <v>1113</v>
      </c>
      <c r="J109" s="441" t="b">
        <f t="shared" si="3"/>
        <v>1</v>
      </c>
    </row>
    <row r="110" spans="1:10" hidden="1" x14ac:dyDescent="0.25">
      <c r="A110" s="441" t="str">
        <f t="shared" si="2"/>
        <v>Residential_HVAC_Ductless Heat Pump_Capacitycool</v>
      </c>
      <c r="B110" t="s">
        <v>1095</v>
      </c>
      <c r="C110" t="s">
        <v>91</v>
      </c>
      <c r="D110" t="s">
        <v>1170</v>
      </c>
      <c r="E110" s="444" t="s">
        <v>1182</v>
      </c>
      <c r="F110" s="454">
        <v>36000</v>
      </c>
      <c r="G110" s="441" t="s">
        <v>1149</v>
      </c>
      <c r="H110" s="441" t="s">
        <v>1112</v>
      </c>
      <c r="I110" s="441" t="s">
        <v>1113</v>
      </c>
      <c r="J110" s="441" t="b">
        <f t="shared" si="3"/>
        <v>0</v>
      </c>
    </row>
    <row r="111" spans="1:10" hidden="1" x14ac:dyDescent="0.25">
      <c r="A111" s="441" t="str">
        <f t="shared" si="2"/>
        <v>Residential_HVAC_Ductless Heat Pump_EER_base</v>
      </c>
      <c r="B111" t="s">
        <v>1095</v>
      </c>
      <c r="C111" t="s">
        <v>91</v>
      </c>
      <c r="D111" t="s">
        <v>1170</v>
      </c>
      <c r="E111" s="444" t="s">
        <v>1150</v>
      </c>
      <c r="F111" s="454">
        <v>10.5</v>
      </c>
      <c r="G111" s="441" t="s">
        <v>1151</v>
      </c>
      <c r="H111" s="441" t="s">
        <v>1112</v>
      </c>
      <c r="I111" s="441" t="s">
        <v>1113</v>
      </c>
      <c r="J111" s="441" t="b">
        <f t="shared" si="3"/>
        <v>0</v>
      </c>
    </row>
    <row r="112" spans="1:10" hidden="1" x14ac:dyDescent="0.25">
      <c r="A112" s="441" t="str">
        <f t="shared" si="2"/>
        <v>Residential_HVAC_Ductless Heat Pump_EER_ee</v>
      </c>
      <c r="B112" t="s">
        <v>1095</v>
      </c>
      <c r="C112" t="s">
        <v>91</v>
      </c>
      <c r="D112" t="s">
        <v>1170</v>
      </c>
      <c r="E112" s="444" t="s">
        <v>1152</v>
      </c>
      <c r="F112" s="454">
        <v>12.5</v>
      </c>
      <c r="H112" s="441" t="s">
        <v>1112</v>
      </c>
      <c r="I112" s="441" t="s">
        <v>1113</v>
      </c>
      <c r="J112" s="441" t="b">
        <f t="shared" si="3"/>
        <v>0</v>
      </c>
    </row>
    <row r="113" spans="1:10" hidden="1" x14ac:dyDescent="0.25">
      <c r="A113" s="441" t="str">
        <f t="shared" si="2"/>
        <v>Residential_HVAC_Ductless Heat Pump_1000</v>
      </c>
      <c r="B113" t="s">
        <v>1095</v>
      </c>
      <c r="C113" t="s">
        <v>91</v>
      </c>
      <c r="D113" t="s">
        <v>1170</v>
      </c>
      <c r="E113" s="444">
        <v>1000</v>
      </c>
      <c r="F113" s="454">
        <v>1000</v>
      </c>
      <c r="H113" s="441" t="s">
        <v>1112</v>
      </c>
      <c r="I113" s="441" t="s">
        <v>1113</v>
      </c>
      <c r="J113" s="441" t="b">
        <f t="shared" si="3"/>
        <v>0</v>
      </c>
    </row>
    <row r="114" spans="1:10" hidden="1" x14ac:dyDescent="0.25">
      <c r="A114" s="441" t="str">
        <f t="shared" si="2"/>
        <v>Residential_HVAC_Ductless Heat Pump_CF</v>
      </c>
      <c r="B114" t="s">
        <v>1095</v>
      </c>
      <c r="C114" t="s">
        <v>91</v>
      </c>
      <c r="D114" t="s">
        <v>1170</v>
      </c>
      <c r="E114" s="444" t="s">
        <v>1153</v>
      </c>
      <c r="F114" s="454">
        <v>0.72</v>
      </c>
      <c r="G114" s="441" t="s">
        <v>1154</v>
      </c>
      <c r="H114" s="441" t="s">
        <v>1112</v>
      </c>
      <c r="I114" s="441" t="s">
        <v>1113</v>
      </c>
      <c r="J114" s="441" t="b">
        <f t="shared" si="3"/>
        <v>0</v>
      </c>
    </row>
    <row r="115" spans="1:10" hidden="1" x14ac:dyDescent="0.25">
      <c r="A115" s="441" t="str">
        <f t="shared" si="2"/>
        <v>Residential_HVAC_Ductless Heat Pump_Delta_kW</v>
      </c>
      <c r="B115" t="s">
        <v>1095</v>
      </c>
      <c r="C115" t="s">
        <v>91</v>
      </c>
      <c r="D115" t="s">
        <v>1170</v>
      </c>
      <c r="E115" s="442" t="s">
        <v>1155</v>
      </c>
      <c r="F115" s="453">
        <f>((F110 * (1/F111 - 1/F112)) / F113) * F114</f>
        <v>0.39497142857142842</v>
      </c>
      <c r="H115" s="441" t="s">
        <v>1112</v>
      </c>
      <c r="I115" s="441" t="s">
        <v>1113</v>
      </c>
      <c r="J115" s="441" t="b">
        <f t="shared" si="3"/>
        <v>1</v>
      </c>
    </row>
    <row r="116" spans="1:10" hidden="1" x14ac:dyDescent="0.25">
      <c r="A116" s="441" t="str">
        <f t="shared" si="2"/>
        <v>Residential_HVAC_Ductless Heat Pump_kWh Saved per Unit</v>
      </c>
      <c r="B116" t="s">
        <v>1095</v>
      </c>
      <c r="C116" t="s">
        <v>91</v>
      </c>
      <c r="D116" t="s">
        <v>1170</v>
      </c>
      <c r="E116" s="450" t="s">
        <v>1156</v>
      </c>
      <c r="F116" s="456" t="e">
        <f>((F83+F96+F108)*10^6)/3412</f>
        <v>#DIV/0!</v>
      </c>
      <c r="H116" s="441" t="s">
        <v>1112</v>
      </c>
      <c r="I116" s="441" t="s">
        <v>1113</v>
      </c>
      <c r="J116" s="441" t="b">
        <f t="shared" si="3"/>
        <v>1</v>
      </c>
    </row>
    <row r="117" spans="1:10" hidden="1" x14ac:dyDescent="0.25">
      <c r="A117" s="441" t="str">
        <f t="shared" si="2"/>
        <v>Residential_HVAC_Ductless Heat Pump_Coincident Peak kW Saved per Unit</v>
      </c>
      <c r="B117" t="s">
        <v>1095</v>
      </c>
      <c r="C117" t="s">
        <v>91</v>
      </c>
      <c r="D117" t="s">
        <v>1170</v>
      </c>
      <c r="E117" s="450" t="s">
        <v>1157</v>
      </c>
      <c r="F117" s="456">
        <f>F115</f>
        <v>0.39497142857142842</v>
      </c>
      <c r="H117" s="441" t="s">
        <v>1112</v>
      </c>
      <c r="I117" s="441" t="s">
        <v>1113</v>
      </c>
      <c r="J117" s="441" t="b">
        <f t="shared" si="3"/>
        <v>1</v>
      </c>
    </row>
    <row r="118" spans="1:10" hidden="1" x14ac:dyDescent="0.25">
      <c r="A118" s="441" t="str">
        <f t="shared" si="2"/>
        <v>Residential_HVAC_Ductless Heat Pump_Propane Gal Saved per Unit</v>
      </c>
      <c r="B118" t="s">
        <v>1095</v>
      </c>
      <c r="C118" t="s">
        <v>91</v>
      </c>
      <c r="D118" t="s">
        <v>1170</v>
      </c>
      <c r="E118" s="450" t="s">
        <v>1158</v>
      </c>
      <c r="F118" s="456" t="e">
        <f>(F73*10^6)/91333</f>
        <v>#DIV/0!</v>
      </c>
      <c r="G118" s="441" t="s">
        <v>1159</v>
      </c>
      <c r="H118" s="441" t="s">
        <v>1112</v>
      </c>
      <c r="I118" s="441" t="s">
        <v>1113</v>
      </c>
      <c r="J118" s="441" t="b">
        <f t="shared" si="3"/>
        <v>1</v>
      </c>
    </row>
    <row r="119" spans="1:10" hidden="1" x14ac:dyDescent="0.25">
      <c r="A119" s="441" t="str">
        <f t="shared" si="2"/>
        <v>Residential_HVAC_Ductless Heat Pump_Lifetime (years)</v>
      </c>
      <c r="B119" t="s">
        <v>1095</v>
      </c>
      <c r="C119" t="s">
        <v>91</v>
      </c>
      <c r="D119" t="s">
        <v>1170</v>
      </c>
      <c r="E119" s="450" t="s">
        <v>1160</v>
      </c>
      <c r="F119" s="457">
        <v>16</v>
      </c>
      <c r="H119" s="441" t="s">
        <v>1112</v>
      </c>
      <c r="I119" s="441" t="s">
        <v>1113</v>
      </c>
      <c r="J119" s="441" t="b">
        <f t="shared" si="3"/>
        <v>0</v>
      </c>
    </row>
    <row r="120" spans="1:10" hidden="1" x14ac:dyDescent="0.25">
      <c r="A120" s="441" t="str">
        <f t="shared" si="2"/>
        <v>Residential_HVAC_Ductless Heat Pump_Incremental Cost</v>
      </c>
      <c r="B120" t="s">
        <v>1095</v>
      </c>
      <c r="C120" t="s">
        <v>91</v>
      </c>
      <c r="D120" t="s">
        <v>1170</v>
      </c>
      <c r="E120" s="450" t="s">
        <v>1161</v>
      </c>
      <c r="F120" s="452">
        <f>2041*([18]Dashboard_FS!K16/12000)</f>
        <v>0</v>
      </c>
      <c r="H120" s="441" t="s">
        <v>1112</v>
      </c>
      <c r="I120" s="441" t="s">
        <v>1113</v>
      </c>
      <c r="J120" s="441" t="b">
        <f t="shared" si="3"/>
        <v>1</v>
      </c>
    </row>
    <row r="121" spans="1:10" hidden="1" x14ac:dyDescent="0.25">
      <c r="A121" s="441" t="str">
        <f t="shared" si="2"/>
        <v>Residential_HVAC_Ductless Heat Pump_BTU Impact_Existing_Fossil Fuel</v>
      </c>
      <c r="B121" t="s">
        <v>1095</v>
      </c>
      <c r="C121" t="s">
        <v>91</v>
      </c>
      <c r="D121" t="s">
        <v>1170</v>
      </c>
      <c r="E121" s="450" t="s">
        <v>1163</v>
      </c>
      <c r="F121" s="451" t="e">
        <f>-F73*10^6</f>
        <v>#DIV/0!</v>
      </c>
      <c r="H121" s="441" t="s">
        <v>1112</v>
      </c>
      <c r="I121" s="441" t="s">
        <v>1113</v>
      </c>
      <c r="J121" s="441" t="b">
        <f t="shared" si="3"/>
        <v>1</v>
      </c>
    </row>
    <row r="122" spans="1:10" hidden="1" x14ac:dyDescent="0.25">
      <c r="A122" s="441" t="str">
        <f t="shared" si="2"/>
        <v>Residential_HVAC_Ductless Heat Pump_BTU Impact_Existing_Winter Electricity</v>
      </c>
      <c r="B122" t="s">
        <v>1095</v>
      </c>
      <c r="C122" t="s">
        <v>91</v>
      </c>
      <c r="D122" t="s">
        <v>1170</v>
      </c>
      <c r="E122" s="450" t="s">
        <v>1164</v>
      </c>
      <c r="F122" s="451" t="e">
        <f>-F83*10^6</f>
        <v>#DIV/0!</v>
      </c>
      <c r="H122" s="441" t="s">
        <v>1112</v>
      </c>
      <c r="I122" s="441" t="s">
        <v>1113</v>
      </c>
      <c r="J122" s="441" t="b">
        <f t="shared" si="3"/>
        <v>1</v>
      </c>
    </row>
    <row r="123" spans="1:10" hidden="1" x14ac:dyDescent="0.25">
      <c r="A123" s="441" t="str">
        <f t="shared" si="2"/>
        <v>Residential_HVAC_Ductless Heat Pump_BTU Impact_Existing_Summer Electricity</v>
      </c>
      <c r="B123" t="s">
        <v>1095</v>
      </c>
      <c r="C123" t="s">
        <v>91</v>
      </c>
      <c r="D123" t="s">
        <v>1170</v>
      </c>
      <c r="E123" s="450" t="s">
        <v>1165</v>
      </c>
      <c r="F123" s="451">
        <f xml:space="preserve"> -(((F99 / F100 * (IF([18]Dashboard_FS!$K$17="Yes",1/F101,0) - 0))/F105 * F106) / F107)*10^6</f>
        <v>0</v>
      </c>
      <c r="H123" s="441" t="s">
        <v>1112</v>
      </c>
      <c r="I123" s="441" t="s">
        <v>1113</v>
      </c>
      <c r="J123" s="441" t="b">
        <f t="shared" si="3"/>
        <v>1</v>
      </c>
    </row>
    <row r="124" spans="1:10" hidden="1" x14ac:dyDescent="0.25">
      <c r="A124" s="441" t="str">
        <f t="shared" si="2"/>
        <v>Residential_HVAC_Ductless Heat Pump_BTU Impact_New_Fossil Fuel</v>
      </c>
      <c r="B124" t="s">
        <v>1095</v>
      </c>
      <c r="C124" t="s">
        <v>91</v>
      </c>
      <c r="D124" t="s">
        <v>1170</v>
      </c>
      <c r="E124" s="450" t="s">
        <v>1166</v>
      </c>
      <c r="F124" s="451">
        <v>0</v>
      </c>
      <c r="H124" s="441" t="s">
        <v>1112</v>
      </c>
      <c r="I124" s="441" t="s">
        <v>1113</v>
      </c>
      <c r="J124" s="441" t="b">
        <f t="shared" si="3"/>
        <v>0</v>
      </c>
    </row>
    <row r="125" spans="1:10" hidden="1" x14ac:dyDescent="0.25">
      <c r="A125" s="441" t="str">
        <f t="shared" si="2"/>
        <v>Residential_HVAC_Ductless Heat Pump_BTU Impact_New_Winter Electricity</v>
      </c>
      <c r="B125" t="s">
        <v>1095</v>
      </c>
      <c r="C125" t="s">
        <v>91</v>
      </c>
      <c r="D125" t="s">
        <v>1170</v>
      </c>
      <c r="E125" s="450" t="s">
        <v>1167</v>
      </c>
      <c r="F125" s="451" t="e">
        <f>-F96*10^6</f>
        <v>#DIV/0!</v>
      </c>
      <c r="H125" s="441" t="s">
        <v>1112</v>
      </c>
      <c r="I125" s="441" t="s">
        <v>1113</v>
      </c>
      <c r="J125" s="441" t="b">
        <f t="shared" si="3"/>
        <v>1</v>
      </c>
    </row>
    <row r="126" spans="1:10" hidden="1" x14ac:dyDescent="0.25">
      <c r="A126" s="441" t="str">
        <f t="shared" si="2"/>
        <v>Residential_HVAC_Ductless Heat Pump_BTU Impact_New_Summer Electricity</v>
      </c>
      <c r="B126" t="s">
        <v>1095</v>
      </c>
      <c r="C126" t="s">
        <v>91</v>
      </c>
      <c r="D126" t="s">
        <v>1170</v>
      </c>
      <c r="E126" s="450" t="s">
        <v>1168</v>
      </c>
      <c r="F126" s="451" t="e">
        <f xml:space="preserve"> -(((F99 / F100 * (0 - 1/F103))/F105 * F106) / F107)*10^6</f>
        <v>#DIV/0!</v>
      </c>
      <c r="H126" s="441" t="s">
        <v>1112</v>
      </c>
      <c r="I126" s="441" t="s">
        <v>1113</v>
      </c>
      <c r="J126" s="441" t="b">
        <f t="shared" si="3"/>
        <v>1</v>
      </c>
    </row>
    <row r="127" spans="1:10" hidden="1" x14ac:dyDescent="0.25">
      <c r="A127" s="441" t="str">
        <f t="shared" si="2"/>
        <v>Residential_HVAC_Ductless Heat Pump_</v>
      </c>
      <c r="B127" t="s">
        <v>1095</v>
      </c>
      <c r="C127" t="s">
        <v>91</v>
      </c>
      <c r="D127" t="s">
        <v>1170</v>
      </c>
      <c r="J127" s="441" t="b">
        <f t="shared" si="3"/>
        <v>0</v>
      </c>
    </row>
    <row r="128" spans="1:10" hidden="1" x14ac:dyDescent="0.25">
      <c r="A128" s="441" t="str">
        <f>B128&amp;"_"&amp;C128&amp;"_"&amp;D128&amp;"_"&amp;E128</f>
        <v>Residential_HVAC_Furnace_EFLH</v>
      </c>
      <c r="B128" t="s">
        <v>1095</v>
      </c>
      <c r="C128" t="s">
        <v>91</v>
      </c>
      <c r="D128" t="s">
        <v>67</v>
      </c>
      <c r="E128" s="442" t="s">
        <v>1110</v>
      </c>
      <c r="F128" s="443">
        <f>INDEX('[18]CZ Inputs'!$G:$G,MATCH($A128&amp;"_"&amp;[18]Dashboard_FS!$K$3,'[18]CZ Inputs'!$A:$A,0))</f>
        <v>836</v>
      </c>
      <c r="G128" s="441" t="s">
        <v>1111</v>
      </c>
      <c r="H128" s="441" t="s">
        <v>1183</v>
      </c>
      <c r="I128" s="441" t="s">
        <v>1184</v>
      </c>
      <c r="J128" s="441" t="b">
        <f>_xlfn.ISFORMULA(F128)</f>
        <v>1</v>
      </c>
    </row>
    <row r="129" spans="1:10" hidden="1" x14ac:dyDescent="0.25">
      <c r="A129" s="441" t="str">
        <f t="shared" ref="A129:A192" si="4">B129&amp;"_"&amp;C129&amp;"_"&amp;D129&amp;"_"&amp;E129</f>
        <v>Residential_HVAC_Ground Source Heat Pump_Capacity_ASHPheat (Btuh_Existing)</v>
      </c>
      <c r="B129" t="s">
        <v>1095</v>
      </c>
      <c r="C129" t="s">
        <v>91</v>
      </c>
      <c r="D129" t="s">
        <v>1185</v>
      </c>
      <c r="E129" s="442" t="s">
        <v>1115</v>
      </c>
      <c r="F129" s="443">
        <f>[18]Dashboard_FS!$K$10</f>
        <v>0</v>
      </c>
      <c r="G129" s="441" t="s">
        <v>1116</v>
      </c>
      <c r="H129" s="441" t="s">
        <v>1183</v>
      </c>
      <c r="I129" s="441" t="s">
        <v>1184</v>
      </c>
      <c r="J129" s="441" t="b">
        <f t="shared" ref="J129:J192" si="5">_xlfn.ISFORMULA(F129)</f>
        <v>1</v>
      </c>
    </row>
    <row r="130" spans="1:10" hidden="1" x14ac:dyDescent="0.25">
      <c r="A130" s="441" t="str">
        <f t="shared" si="4"/>
        <v>Residential_HVAC_Ground Source Heat Pump_HeatLoad</v>
      </c>
      <c r="B130" t="s">
        <v>1095</v>
      </c>
      <c r="C130" t="s">
        <v>91</v>
      </c>
      <c r="D130" t="s">
        <v>1185</v>
      </c>
      <c r="E130" s="442" t="s">
        <v>1186</v>
      </c>
      <c r="F130" s="443">
        <f xml:space="preserve"> F128 * F129</f>
        <v>0</v>
      </c>
      <c r="H130" s="441" t="s">
        <v>1183</v>
      </c>
      <c r="I130" s="441" t="s">
        <v>1184</v>
      </c>
      <c r="J130" s="441" t="b">
        <f t="shared" si="5"/>
        <v>1</v>
      </c>
    </row>
    <row r="131" spans="1:10" hidden="1" x14ac:dyDescent="0.25">
      <c r="A131" s="441" t="str">
        <f t="shared" si="4"/>
        <v>Residential_HVAC_Ground Source Heat Pump_AFUEbase</v>
      </c>
      <c r="B131" t="s">
        <v>1095</v>
      </c>
      <c r="C131" t="s">
        <v>91</v>
      </c>
      <c r="D131" t="s">
        <v>1185</v>
      </c>
      <c r="E131" s="442" t="s">
        <v>1122</v>
      </c>
      <c r="F131" s="443">
        <f>[18]Dashboard_FS!$K$8</f>
        <v>0</v>
      </c>
      <c r="G131" s="441" t="s">
        <v>1116</v>
      </c>
      <c r="H131" s="441" t="s">
        <v>1183</v>
      </c>
      <c r="I131" s="441" t="s">
        <v>1184</v>
      </c>
      <c r="J131" s="441" t="b">
        <f t="shared" si="5"/>
        <v>1</v>
      </c>
    </row>
    <row r="132" spans="1:10" hidden="1" x14ac:dyDescent="0.25">
      <c r="A132" s="441" t="str">
        <f t="shared" si="4"/>
        <v>Residential_HVAC_Ground Source Heat Pump_1000000</v>
      </c>
      <c r="B132" t="s">
        <v>1095</v>
      </c>
      <c r="C132" t="s">
        <v>91</v>
      </c>
      <c r="D132" t="s">
        <v>1185</v>
      </c>
      <c r="E132" s="444">
        <v>1000000</v>
      </c>
      <c r="F132" s="445">
        <v>1000000</v>
      </c>
      <c r="H132" s="441" t="s">
        <v>1183</v>
      </c>
      <c r="I132" s="441" t="s">
        <v>1184</v>
      </c>
      <c r="J132" s="441" t="b">
        <f t="shared" si="5"/>
        <v>0</v>
      </c>
    </row>
    <row r="133" spans="1:10" hidden="1" x14ac:dyDescent="0.25">
      <c r="A133" s="441" t="str">
        <f t="shared" si="4"/>
        <v>Residential_HVAC_Ground Source Heat Pump_GasHeatReplaced</v>
      </c>
      <c r="B133" t="s">
        <v>1095</v>
      </c>
      <c r="C133" t="s">
        <v>91</v>
      </c>
      <c r="D133" t="s">
        <v>1185</v>
      </c>
      <c r="E133" s="442" t="s">
        <v>1123</v>
      </c>
      <c r="F133" s="443" t="e">
        <f xml:space="preserve"> ( F130 * 1 / F131 ) / F132</f>
        <v>#DIV/0!</v>
      </c>
      <c r="H133" s="441" t="s">
        <v>1183</v>
      </c>
      <c r="I133" s="441" t="s">
        <v>1184</v>
      </c>
      <c r="J133" s="441" t="b">
        <f t="shared" si="5"/>
        <v>1</v>
      </c>
    </row>
    <row r="134" spans="1:10" hidden="1" x14ac:dyDescent="0.25">
      <c r="A134" s="441" t="str">
        <f t="shared" si="4"/>
        <v>Residential_HVAC_Ground Source Heat Pump_FurnaceFlag</v>
      </c>
      <c r="B134" t="s">
        <v>1095</v>
      </c>
      <c r="C134" t="s">
        <v>91</v>
      </c>
      <c r="D134" t="s">
        <v>1185</v>
      </c>
      <c r="E134" s="444" t="s">
        <v>1124</v>
      </c>
      <c r="F134" s="445">
        <v>1</v>
      </c>
      <c r="G134" s="441" t="s">
        <v>1125</v>
      </c>
      <c r="H134" s="441" t="s">
        <v>1183</v>
      </c>
      <c r="I134" s="441" t="s">
        <v>1184</v>
      </c>
      <c r="J134" s="441" t="b">
        <f t="shared" si="5"/>
        <v>0</v>
      </c>
    </row>
    <row r="135" spans="1:10" hidden="1" x14ac:dyDescent="0.25">
      <c r="A135" s="441" t="str">
        <f t="shared" si="4"/>
        <v>Residential_HVAC_Furnace_EFLH</v>
      </c>
      <c r="B135" t="s">
        <v>1095</v>
      </c>
      <c r="C135" t="s">
        <v>91</v>
      </c>
      <c r="D135" t="s">
        <v>67</v>
      </c>
      <c r="E135" s="442" t="s">
        <v>1110</v>
      </c>
      <c r="F135" s="443">
        <f>INDEX('[18]CZ Inputs'!$G:$G,MATCH($A135&amp;"_"&amp;[18]Dashboard_FS!$K$3,'[18]CZ Inputs'!$A:$A,0))</f>
        <v>836</v>
      </c>
      <c r="G135" s="441" t="s">
        <v>1111</v>
      </c>
      <c r="H135" s="441" t="s">
        <v>1183</v>
      </c>
      <c r="I135" s="441" t="s">
        <v>1184</v>
      </c>
      <c r="J135" s="441" t="b">
        <f t="shared" si="5"/>
        <v>1</v>
      </c>
    </row>
    <row r="136" spans="1:10" hidden="1" x14ac:dyDescent="0.25">
      <c r="A136" s="441" t="str">
        <f t="shared" si="4"/>
        <v>Residential_HVAC_Ground Source Heat Pump_Capacity_ASHPheat</v>
      </c>
      <c r="B136" t="s">
        <v>1095</v>
      </c>
      <c r="C136" t="s">
        <v>91</v>
      </c>
      <c r="D136" t="s">
        <v>1185</v>
      </c>
      <c r="E136" s="442" t="s">
        <v>1126</v>
      </c>
      <c r="F136" s="443">
        <f>[18]Dashboard_FS!$K$9</f>
        <v>0</v>
      </c>
      <c r="G136" s="441" t="s">
        <v>1116</v>
      </c>
      <c r="H136" s="441" t="s">
        <v>1183</v>
      </c>
      <c r="I136" s="441" t="s">
        <v>1184</v>
      </c>
      <c r="J136" s="441" t="b">
        <f t="shared" si="5"/>
        <v>1</v>
      </c>
    </row>
    <row r="137" spans="1:10" hidden="1" x14ac:dyDescent="0.25">
      <c r="A137" s="441" t="str">
        <f t="shared" si="4"/>
        <v>Residential_HVAC_Ground Source Heat Pump_HeatLoad</v>
      </c>
      <c r="B137" t="s">
        <v>1095</v>
      </c>
      <c r="C137" t="s">
        <v>91</v>
      </c>
      <c r="D137" t="s">
        <v>1185</v>
      </c>
      <c r="E137" s="442" t="s">
        <v>1186</v>
      </c>
      <c r="F137" s="443">
        <f xml:space="preserve"> F135 * F136</f>
        <v>0</v>
      </c>
      <c r="H137" s="441" t="s">
        <v>1183</v>
      </c>
      <c r="I137" s="441" t="s">
        <v>1184</v>
      </c>
      <c r="J137" s="441" t="b">
        <f t="shared" si="5"/>
        <v>1</v>
      </c>
    </row>
    <row r="138" spans="1:10" hidden="1" x14ac:dyDescent="0.25">
      <c r="A138" s="441" t="str">
        <f t="shared" si="4"/>
        <v>Residential_HVAC_Ground Source Heat Pump_AFUEbase</v>
      </c>
      <c r="B138" t="s">
        <v>1095</v>
      </c>
      <c r="C138" t="s">
        <v>91</v>
      </c>
      <c r="D138" t="s">
        <v>1185</v>
      </c>
      <c r="E138" s="442" t="s">
        <v>1122</v>
      </c>
      <c r="F138" s="443">
        <f>[18]Dashboard_FS!$K$8</f>
        <v>0</v>
      </c>
      <c r="G138" s="441" t="s">
        <v>1116</v>
      </c>
      <c r="H138" s="441" t="s">
        <v>1183</v>
      </c>
      <c r="I138" s="441" t="s">
        <v>1184</v>
      </c>
      <c r="J138" s="441" t="b">
        <f t="shared" si="5"/>
        <v>1</v>
      </c>
    </row>
    <row r="139" spans="1:10" hidden="1" x14ac:dyDescent="0.25">
      <c r="A139" s="441" t="str">
        <f t="shared" si="4"/>
        <v>Residential_HVAC_Ground Source Heat Pump_Fe</v>
      </c>
      <c r="B139" t="s">
        <v>1095</v>
      </c>
      <c r="C139" t="s">
        <v>91</v>
      </c>
      <c r="D139" t="s">
        <v>1185</v>
      </c>
      <c r="E139" s="444" t="s">
        <v>1127</v>
      </c>
      <c r="F139" s="445">
        <v>1.8799999999999997E-2</v>
      </c>
      <c r="H139" s="441" t="s">
        <v>1183</v>
      </c>
      <c r="I139" s="441" t="s">
        <v>1184</v>
      </c>
      <c r="J139" s="441" t="b">
        <f t="shared" si="5"/>
        <v>0</v>
      </c>
    </row>
    <row r="140" spans="1:10" hidden="1" x14ac:dyDescent="0.25">
      <c r="A140" s="441" t="str">
        <f t="shared" si="4"/>
        <v>Residential_HVAC_Ground Source Heat Pump_1000000</v>
      </c>
      <c r="B140" t="s">
        <v>1095</v>
      </c>
      <c r="C140" t="s">
        <v>91</v>
      </c>
      <c r="D140" t="s">
        <v>1185</v>
      </c>
      <c r="E140" s="444">
        <v>1000000</v>
      </c>
      <c r="F140" s="445">
        <v>1000000</v>
      </c>
      <c r="H140" s="441" t="s">
        <v>1183</v>
      </c>
      <c r="I140" s="441" t="s">
        <v>1184</v>
      </c>
      <c r="J140" s="441" t="b">
        <f t="shared" si="5"/>
        <v>0</v>
      </c>
    </row>
    <row r="141" spans="1:10" hidden="1" x14ac:dyDescent="0.25">
      <c r="A141" s="441" t="str">
        <f t="shared" si="4"/>
        <v>Residential_HVAC_Ground Source Heat Pump_FurnaceFanSavings</v>
      </c>
      <c r="B141" t="s">
        <v>1095</v>
      </c>
      <c r="C141" t="s">
        <v>91</v>
      </c>
      <c r="D141" t="s">
        <v>1185</v>
      </c>
      <c r="E141" s="442" t="s">
        <v>1128</v>
      </c>
      <c r="F141" s="443" t="e">
        <f xml:space="preserve"> ( F134 * F137 * 1 / F138 * F139 ) / F140</f>
        <v>#DIV/0!</v>
      </c>
      <c r="G141" s="441" t="s">
        <v>1129</v>
      </c>
      <c r="H141" s="441" t="s">
        <v>1183</v>
      </c>
      <c r="I141" s="441" t="s">
        <v>1184</v>
      </c>
      <c r="J141" s="441" t="b">
        <f t="shared" si="5"/>
        <v>1</v>
      </c>
    </row>
    <row r="142" spans="1:10" hidden="1" x14ac:dyDescent="0.25">
      <c r="A142" s="441" t="str">
        <f t="shared" si="4"/>
        <v>Residential_HVAC_Ground Source Heat Pump_FLH_GSHPheat</v>
      </c>
      <c r="B142" t="s">
        <v>1095</v>
      </c>
      <c r="C142" t="s">
        <v>91</v>
      </c>
      <c r="D142" t="s">
        <v>1185</v>
      </c>
      <c r="E142" s="442" t="s">
        <v>1187</v>
      </c>
      <c r="F142" s="443">
        <f>INDEX('[18]CZ Inputs'!$G:$G,MATCH($A142&amp;"_"&amp;[18]Dashboard_FS!$K$3,'[18]CZ Inputs'!$A:$A,0))</f>
        <v>1708</v>
      </c>
      <c r="G142" s="441" t="s">
        <v>1111</v>
      </c>
      <c r="H142" s="441" t="s">
        <v>1183</v>
      </c>
      <c r="I142" s="441" t="s">
        <v>1184</v>
      </c>
      <c r="J142" s="441" t="b">
        <f t="shared" si="5"/>
        <v>1</v>
      </c>
    </row>
    <row r="143" spans="1:10" hidden="1" x14ac:dyDescent="0.25">
      <c r="A143" s="441" t="str">
        <f t="shared" si="4"/>
        <v>Residential_HVAC_Ground Source Heat Pump_Capacity_GSHPheat</v>
      </c>
      <c r="B143" t="s">
        <v>1095</v>
      </c>
      <c r="C143" t="s">
        <v>91</v>
      </c>
      <c r="D143" t="s">
        <v>1185</v>
      </c>
      <c r="E143" s="442" t="s">
        <v>1188</v>
      </c>
      <c r="F143" s="443">
        <f>[18]Dashboard_FS!$K$9</f>
        <v>0</v>
      </c>
      <c r="G143" s="441" t="s">
        <v>1116</v>
      </c>
      <c r="H143" s="441" t="s">
        <v>1183</v>
      </c>
      <c r="I143" s="441" t="s">
        <v>1184</v>
      </c>
      <c r="J143" s="441" t="b">
        <f t="shared" si="5"/>
        <v>1</v>
      </c>
    </row>
    <row r="144" spans="1:10" hidden="1" x14ac:dyDescent="0.25">
      <c r="A144" s="441" t="str">
        <f t="shared" si="4"/>
        <v>Residential_HVAC_Ground Source Heat Pump_HeatLoad</v>
      </c>
      <c r="B144" t="s">
        <v>1095</v>
      </c>
      <c r="C144" t="s">
        <v>91</v>
      </c>
      <c r="D144" t="s">
        <v>1185</v>
      </c>
      <c r="E144" s="442" t="s">
        <v>1186</v>
      </c>
      <c r="F144" s="443">
        <f xml:space="preserve"> F142 * F143</f>
        <v>0</v>
      </c>
      <c r="H144" s="441" t="s">
        <v>1183</v>
      </c>
      <c r="I144" s="441" t="s">
        <v>1184</v>
      </c>
      <c r="J144" s="441" t="b">
        <f t="shared" si="5"/>
        <v>1</v>
      </c>
    </row>
    <row r="145" spans="1:10" hidden="1" x14ac:dyDescent="0.25">
      <c r="A145" s="441" t="str">
        <f t="shared" si="4"/>
        <v>Residential_HVAC_Ground Source Heat Pump_COP_pl</v>
      </c>
      <c r="B145" t="s">
        <v>1095</v>
      </c>
      <c r="C145" t="s">
        <v>91</v>
      </c>
      <c r="D145" t="s">
        <v>1185</v>
      </c>
      <c r="E145" s="442" t="s">
        <v>1189</v>
      </c>
      <c r="F145" s="443">
        <f>[18]Dashboard_FS!$K$6</f>
        <v>0</v>
      </c>
      <c r="G145" s="441" t="s">
        <v>1116</v>
      </c>
      <c r="H145" s="441" t="s">
        <v>1183</v>
      </c>
      <c r="I145" s="441" t="s">
        <v>1184</v>
      </c>
      <c r="J145" s="441" t="b">
        <f t="shared" si="5"/>
        <v>1</v>
      </c>
    </row>
    <row r="146" spans="1:10" hidden="1" x14ac:dyDescent="0.25">
      <c r="A146" s="441" t="str">
        <f t="shared" si="4"/>
        <v>Residential_HVAC_Ground Source Heat Pump_3.412</v>
      </c>
      <c r="B146" t="s">
        <v>1095</v>
      </c>
      <c r="C146" t="s">
        <v>91</v>
      </c>
      <c r="D146" t="s">
        <v>1185</v>
      </c>
      <c r="E146" s="442">
        <v>3.4119999999999999</v>
      </c>
      <c r="F146" s="446">
        <v>3.4119999999999999</v>
      </c>
      <c r="H146" s="441" t="s">
        <v>1183</v>
      </c>
      <c r="I146" s="441" t="s">
        <v>1184</v>
      </c>
      <c r="J146" s="441" t="b">
        <f t="shared" si="5"/>
        <v>0</v>
      </c>
    </row>
    <row r="147" spans="1:10" hidden="1" x14ac:dyDescent="0.25">
      <c r="A147" s="441" t="str">
        <f t="shared" si="4"/>
        <v>Residential_HVAC_Ground Source Heat Pump_1000</v>
      </c>
      <c r="B147" t="s">
        <v>1095</v>
      </c>
      <c r="C147" t="s">
        <v>91</v>
      </c>
      <c r="D147" t="s">
        <v>1185</v>
      </c>
      <c r="E147" s="444">
        <v>1000</v>
      </c>
      <c r="F147" s="445">
        <v>1000</v>
      </c>
      <c r="H147" s="441" t="s">
        <v>1183</v>
      </c>
      <c r="I147" s="441" t="s">
        <v>1184</v>
      </c>
      <c r="J147" s="441" t="b">
        <f t="shared" si="5"/>
        <v>0</v>
      </c>
    </row>
    <row r="148" spans="1:10" hidden="1" x14ac:dyDescent="0.25">
      <c r="A148" s="441" t="str">
        <f t="shared" si="4"/>
        <v>Residential_HVAC_Ground Source Heat Pump_3412</v>
      </c>
      <c r="B148" t="s">
        <v>1095</v>
      </c>
      <c r="C148" t="s">
        <v>91</v>
      </c>
      <c r="D148" t="s">
        <v>1185</v>
      </c>
      <c r="E148" s="444">
        <v>3412</v>
      </c>
      <c r="F148" s="445">
        <v>3412</v>
      </c>
      <c r="H148" s="441" t="s">
        <v>1183</v>
      </c>
      <c r="I148" s="441" t="s">
        <v>1184</v>
      </c>
      <c r="J148" s="441" t="b">
        <f t="shared" si="5"/>
        <v>0</v>
      </c>
    </row>
    <row r="149" spans="1:10" hidden="1" x14ac:dyDescent="0.25">
      <c r="A149" s="441" t="str">
        <f t="shared" si="4"/>
        <v>Residential_HVAC_Ground Source Heat Pump_1000000</v>
      </c>
      <c r="B149" t="s">
        <v>1095</v>
      </c>
      <c r="C149" t="s">
        <v>91</v>
      </c>
      <c r="D149" t="s">
        <v>1185</v>
      </c>
      <c r="E149" s="444">
        <v>1000000</v>
      </c>
      <c r="F149" s="445">
        <v>1000000</v>
      </c>
      <c r="H149" s="441" t="s">
        <v>1183</v>
      </c>
      <c r="I149" s="441" t="s">
        <v>1184</v>
      </c>
      <c r="J149" s="441" t="b">
        <f t="shared" si="5"/>
        <v>0</v>
      </c>
    </row>
    <row r="150" spans="1:10" hidden="1" x14ac:dyDescent="0.25">
      <c r="A150" s="441" t="str">
        <f t="shared" si="4"/>
        <v>Residential_HVAC_Ground Source Heat Pump_GSHPSiteHeatConsumed</v>
      </c>
      <c r="B150" t="s">
        <v>1095</v>
      </c>
      <c r="C150" t="s">
        <v>91</v>
      </c>
      <c r="D150" t="s">
        <v>1185</v>
      </c>
      <c r="E150" s="442" t="s">
        <v>1190</v>
      </c>
      <c r="F150" s="443" t="e">
        <f xml:space="preserve"> - (F144 * (1/(F145 * F146))/F147) * F148 / F149</f>
        <v>#DIV/0!</v>
      </c>
      <c r="H150" s="441" t="s">
        <v>1183</v>
      </c>
      <c r="I150" s="441" t="s">
        <v>1184</v>
      </c>
      <c r="J150" s="441" t="b">
        <f t="shared" si="5"/>
        <v>1</v>
      </c>
    </row>
    <row r="151" spans="1:10" hidden="1" x14ac:dyDescent="0.25">
      <c r="A151" s="441" t="str">
        <f t="shared" si="4"/>
        <v>Residential_HVAC_Ground Source Heat Pump_FLHcool</v>
      </c>
      <c r="B151" t="s">
        <v>1095</v>
      </c>
      <c r="C151" t="s">
        <v>91</v>
      </c>
      <c r="D151" t="s">
        <v>1185</v>
      </c>
      <c r="E151" s="442" t="s">
        <v>1138</v>
      </c>
      <c r="F151" s="443">
        <f>INDEX('[18]CZ Inputs'!$G:$G,MATCH($A151&amp;"_"&amp;[18]Dashboard_FS!$K$3,'[18]CZ Inputs'!$A:$A,0))</f>
        <v>779</v>
      </c>
      <c r="G151" s="441" t="s">
        <v>1111</v>
      </c>
      <c r="H151" s="441" t="s">
        <v>1183</v>
      </c>
      <c r="I151" s="441" t="s">
        <v>1184</v>
      </c>
      <c r="J151" s="441" t="b">
        <f t="shared" si="5"/>
        <v>1</v>
      </c>
    </row>
    <row r="152" spans="1:10" hidden="1" x14ac:dyDescent="0.25">
      <c r="A152" s="441" t="str">
        <f t="shared" si="4"/>
        <v>Residential_HVAC_Ground Source Heat Pump_Capacity_GSHPcool</v>
      </c>
      <c r="B152" t="s">
        <v>1095</v>
      </c>
      <c r="C152" t="s">
        <v>91</v>
      </c>
      <c r="D152" t="s">
        <v>1185</v>
      </c>
      <c r="E152" s="442" t="s">
        <v>1191</v>
      </c>
      <c r="F152" s="443">
        <f>[18]Dashboard_FS!$K$16</f>
        <v>0</v>
      </c>
      <c r="H152" s="441" t="s">
        <v>1183</v>
      </c>
      <c r="I152" s="441" t="s">
        <v>1184</v>
      </c>
      <c r="J152" s="441" t="b">
        <f t="shared" si="5"/>
        <v>1</v>
      </c>
    </row>
    <row r="153" spans="1:10" hidden="1" x14ac:dyDescent="0.25">
      <c r="A153" s="441" t="str">
        <f t="shared" si="4"/>
        <v>Residential_HVAC_Ground Source Heat Pump_CoolingLoad</v>
      </c>
      <c r="B153" t="s">
        <v>1095</v>
      </c>
      <c r="C153" t="s">
        <v>91</v>
      </c>
      <c r="D153" t="s">
        <v>1185</v>
      </c>
      <c r="E153" s="442" t="s">
        <v>1140</v>
      </c>
      <c r="F153" s="443">
        <f>F151*F152</f>
        <v>0</v>
      </c>
      <c r="H153" s="441" t="s">
        <v>1183</v>
      </c>
      <c r="I153" s="441" t="s">
        <v>1184</v>
      </c>
      <c r="J153" s="441" t="b">
        <f t="shared" si="5"/>
        <v>1</v>
      </c>
    </row>
    <row r="154" spans="1:10" hidden="1" x14ac:dyDescent="0.25">
      <c r="A154" s="441" t="str">
        <f t="shared" si="4"/>
        <v>Residential_HVAC_Ground Source Heat Pump_SEER2_base</v>
      </c>
      <c r="B154" t="s">
        <v>1095</v>
      </c>
      <c r="C154" t="s">
        <v>91</v>
      </c>
      <c r="D154" t="s">
        <v>1185</v>
      </c>
      <c r="E154" s="442" t="s">
        <v>1141</v>
      </c>
      <c r="F154" s="443">
        <f>[18]Dashboard_FS!$K$15</f>
        <v>0</v>
      </c>
      <c r="G154" s="441" t="s">
        <v>1116</v>
      </c>
      <c r="H154" s="441" t="s">
        <v>1183</v>
      </c>
      <c r="I154" s="441" t="s">
        <v>1184</v>
      </c>
      <c r="J154" s="441" t="b">
        <f t="shared" si="5"/>
        <v>1</v>
      </c>
    </row>
    <row r="155" spans="1:10" hidden="1" x14ac:dyDescent="0.25">
      <c r="A155" s="441" t="str">
        <f t="shared" si="4"/>
        <v>Residential_HVAC_Ground Source Heat Pump_EER2_pl</v>
      </c>
      <c r="B155" t="s">
        <v>1095</v>
      </c>
      <c r="C155" t="s">
        <v>91</v>
      </c>
      <c r="D155" t="s">
        <v>1185</v>
      </c>
      <c r="E155" s="442" t="s">
        <v>1192</v>
      </c>
      <c r="F155" s="443">
        <f>[18]Dashboard_FS!$K$14</f>
        <v>0</v>
      </c>
      <c r="G155" s="441" t="s">
        <v>1116</v>
      </c>
      <c r="H155" s="441" t="s">
        <v>1183</v>
      </c>
      <c r="I155" s="441" t="s">
        <v>1184</v>
      </c>
      <c r="J155" s="441" t="b">
        <f t="shared" si="5"/>
        <v>1</v>
      </c>
    </row>
    <row r="156" spans="1:10" hidden="1" x14ac:dyDescent="0.25">
      <c r="A156" s="441" t="str">
        <f t="shared" si="4"/>
        <v>Residential_HVAC_Ground Source Heat Pump_1000</v>
      </c>
      <c r="B156" t="s">
        <v>1095</v>
      </c>
      <c r="C156" t="s">
        <v>91</v>
      </c>
      <c r="D156" t="s">
        <v>1185</v>
      </c>
      <c r="E156" s="444">
        <v>1000</v>
      </c>
      <c r="F156" s="445">
        <v>1000</v>
      </c>
      <c r="H156" s="441" t="s">
        <v>1183</v>
      </c>
      <c r="I156" s="441" t="s">
        <v>1184</v>
      </c>
      <c r="J156" s="441" t="b">
        <f t="shared" si="5"/>
        <v>0</v>
      </c>
    </row>
    <row r="157" spans="1:10" hidden="1" x14ac:dyDescent="0.25">
      <c r="A157" s="441" t="str">
        <f t="shared" si="4"/>
        <v>Residential_HVAC_Ground Source Heat Pump_3412</v>
      </c>
      <c r="B157" t="s">
        <v>1095</v>
      </c>
      <c r="C157" t="s">
        <v>91</v>
      </c>
      <c r="D157" t="s">
        <v>1185</v>
      </c>
      <c r="E157" s="444">
        <v>3412</v>
      </c>
      <c r="F157" s="445">
        <v>3412</v>
      </c>
      <c r="H157" s="441" t="s">
        <v>1183</v>
      </c>
      <c r="I157" s="441" t="s">
        <v>1184</v>
      </c>
      <c r="J157" s="441" t="b">
        <f t="shared" si="5"/>
        <v>0</v>
      </c>
    </row>
    <row r="158" spans="1:10" hidden="1" x14ac:dyDescent="0.25">
      <c r="A158" s="441" t="str">
        <f t="shared" si="4"/>
        <v>Residential_HVAC_Ground Source Heat Pump_1000000</v>
      </c>
      <c r="B158" t="s">
        <v>1095</v>
      </c>
      <c r="C158" t="s">
        <v>91</v>
      </c>
      <c r="D158" t="s">
        <v>1185</v>
      </c>
      <c r="E158" s="444">
        <v>1000000</v>
      </c>
      <c r="F158" s="445">
        <v>1000000</v>
      </c>
      <c r="H158" s="441" t="s">
        <v>1183</v>
      </c>
      <c r="I158" s="441" t="s">
        <v>1184</v>
      </c>
      <c r="J158" s="441" t="b">
        <f t="shared" si="5"/>
        <v>0</v>
      </c>
    </row>
    <row r="159" spans="1:10" hidden="1" x14ac:dyDescent="0.25">
      <c r="A159" s="441" t="str">
        <f t="shared" si="4"/>
        <v>Residential_HVAC_Ground Source Heat Pump_GSHPSiteCoolingImpact</v>
      </c>
      <c r="B159" t="s">
        <v>1095</v>
      </c>
      <c r="C159" t="s">
        <v>91</v>
      </c>
      <c r="D159" t="s">
        <v>1185</v>
      </c>
      <c r="E159" s="442" t="s">
        <v>1193</v>
      </c>
      <c r="F159" s="448" t="e">
        <f>(F153*((IF([18]Dashboard_FS!$K$17="Yes",1/F154,0)-1/F155)/F156)*F157) / F158</f>
        <v>#DIV/0!</v>
      </c>
      <c r="H159" s="441" t="s">
        <v>1183</v>
      </c>
      <c r="I159" s="441" t="s">
        <v>1184</v>
      </c>
      <c r="J159" s="441" t="b">
        <f t="shared" si="5"/>
        <v>1</v>
      </c>
    </row>
    <row r="160" spans="1:10" hidden="1" x14ac:dyDescent="0.25">
      <c r="A160" s="441" t="str">
        <f t="shared" si="4"/>
        <v>Residential_HVAC_Ground Source Heat Pump_BTU_NewSiteCoolingImpact</v>
      </c>
      <c r="B160" t="s">
        <v>1095</v>
      </c>
      <c r="C160" t="s">
        <v>91</v>
      </c>
      <c r="D160" t="s">
        <v>1185</v>
      </c>
      <c r="E160" s="442" t="s">
        <v>1146</v>
      </c>
      <c r="F160" s="448" t="e">
        <f xml:space="preserve"> - ((( F153 * (0 - 1 / (F155)))/ F156 * F157 ) / F158)*10^6</f>
        <v>#DIV/0!</v>
      </c>
      <c r="H160" s="441" t="s">
        <v>1183</v>
      </c>
      <c r="I160" s="441" t="s">
        <v>1184</v>
      </c>
      <c r="J160" s="441" t="b">
        <f t="shared" si="5"/>
        <v>1</v>
      </c>
    </row>
    <row r="161" spans="1:10" hidden="1" x14ac:dyDescent="0.25">
      <c r="A161" s="441" t="str">
        <f t="shared" si="4"/>
        <v>Residential_HVAC_Ground Source Heat Pump_SiteEnergySavings (MMBTUs)</v>
      </c>
      <c r="B161" t="s">
        <v>1095</v>
      </c>
      <c r="C161" t="s">
        <v>91</v>
      </c>
      <c r="D161" t="s">
        <v>1185</v>
      </c>
      <c r="E161" s="449" t="s">
        <v>1147</v>
      </c>
      <c r="F161" s="443" t="e">
        <f xml:space="preserve"> F133 + F141 + F150 + F159</f>
        <v>#DIV/0!</v>
      </c>
      <c r="H161" s="441" t="s">
        <v>1183</v>
      </c>
      <c r="I161" s="441" t="s">
        <v>1184</v>
      </c>
      <c r="J161" s="441" t="b">
        <f t="shared" si="5"/>
        <v>1</v>
      </c>
    </row>
    <row r="162" spans="1:10" hidden="1" x14ac:dyDescent="0.25">
      <c r="A162" s="441" t="str">
        <f t="shared" si="4"/>
        <v>Residential_HVAC_Ground Source Heat Pump_Capacity_GSHPcool</v>
      </c>
      <c r="B162" t="s">
        <v>1095</v>
      </c>
      <c r="C162" t="s">
        <v>91</v>
      </c>
      <c r="D162" t="s">
        <v>1185</v>
      </c>
      <c r="E162" s="442" t="s">
        <v>1191</v>
      </c>
      <c r="F162" s="443">
        <f>[18]Dashboard_FS!$K$16</f>
        <v>0</v>
      </c>
      <c r="H162" s="441" t="s">
        <v>1183</v>
      </c>
      <c r="I162" s="441" t="s">
        <v>1184</v>
      </c>
      <c r="J162" s="441" t="b">
        <f t="shared" si="5"/>
        <v>1</v>
      </c>
    </row>
    <row r="163" spans="1:10" hidden="1" x14ac:dyDescent="0.25">
      <c r="A163" s="441" t="str">
        <f t="shared" si="4"/>
        <v>Residential_HVAC_Ground Source Heat Pump_EER2_base</v>
      </c>
      <c r="B163" t="s">
        <v>1095</v>
      </c>
      <c r="C163" t="s">
        <v>91</v>
      </c>
      <c r="D163" t="s">
        <v>1185</v>
      </c>
      <c r="E163" s="444" t="s">
        <v>1194</v>
      </c>
      <c r="F163" s="445">
        <v>10.6</v>
      </c>
      <c r="G163" s="441" t="s">
        <v>1151</v>
      </c>
      <c r="H163" s="441" t="s">
        <v>1183</v>
      </c>
      <c r="I163" s="441" t="s">
        <v>1184</v>
      </c>
      <c r="J163" s="441" t="b">
        <f t="shared" si="5"/>
        <v>0</v>
      </c>
    </row>
    <row r="164" spans="1:10" hidden="1" x14ac:dyDescent="0.25">
      <c r="A164" s="441" t="str">
        <f t="shared" si="4"/>
        <v>Residential_HVAC_Ground Source Heat Pump_EER2_pl</v>
      </c>
      <c r="B164" t="s">
        <v>1095</v>
      </c>
      <c r="C164" t="s">
        <v>91</v>
      </c>
      <c r="D164" t="s">
        <v>1185</v>
      </c>
      <c r="E164" s="442" t="s">
        <v>1192</v>
      </c>
      <c r="F164" s="443">
        <f>[18]Dashboard_FS!$K$14</f>
        <v>0</v>
      </c>
      <c r="G164" s="441" t="s">
        <v>1116</v>
      </c>
      <c r="H164" s="441" t="s">
        <v>1183</v>
      </c>
      <c r="I164" s="441" t="s">
        <v>1184</v>
      </c>
      <c r="J164" s="441" t="b">
        <f t="shared" si="5"/>
        <v>1</v>
      </c>
    </row>
    <row r="165" spans="1:10" hidden="1" x14ac:dyDescent="0.25">
      <c r="A165" s="441" t="str">
        <f t="shared" si="4"/>
        <v>Residential_HVAC_Ground Source Heat Pump_1000</v>
      </c>
      <c r="B165" t="s">
        <v>1095</v>
      </c>
      <c r="C165" t="s">
        <v>91</v>
      </c>
      <c r="D165" t="s">
        <v>1185</v>
      </c>
      <c r="E165" s="444">
        <v>1000</v>
      </c>
      <c r="F165" s="445">
        <v>1000</v>
      </c>
      <c r="H165" s="441" t="s">
        <v>1183</v>
      </c>
      <c r="I165" s="441" t="s">
        <v>1184</v>
      </c>
      <c r="J165" s="441" t="b">
        <f t="shared" si="5"/>
        <v>0</v>
      </c>
    </row>
    <row r="166" spans="1:10" hidden="1" x14ac:dyDescent="0.25">
      <c r="A166" s="441" t="str">
        <f t="shared" si="4"/>
        <v>Residential_HVAC_Ground Source Heat Pump_CF</v>
      </c>
      <c r="B166" t="s">
        <v>1095</v>
      </c>
      <c r="C166" t="s">
        <v>91</v>
      </c>
      <c r="D166" t="s">
        <v>1185</v>
      </c>
      <c r="E166" s="444" t="s">
        <v>1153</v>
      </c>
      <c r="F166" s="445">
        <v>0.72</v>
      </c>
      <c r="G166" s="441" t="s">
        <v>1195</v>
      </c>
      <c r="H166" s="441" t="s">
        <v>1183</v>
      </c>
      <c r="I166" s="441" t="s">
        <v>1184</v>
      </c>
      <c r="J166" s="441" t="b">
        <f t="shared" si="5"/>
        <v>0</v>
      </c>
    </row>
    <row r="167" spans="1:10" hidden="1" x14ac:dyDescent="0.25">
      <c r="A167" s="441" t="str">
        <f t="shared" si="4"/>
        <v>Residential_HVAC_Ground Source Heat Pump_Delta_kW</v>
      </c>
      <c r="B167" t="s">
        <v>1095</v>
      </c>
      <c r="C167" t="s">
        <v>91</v>
      </c>
      <c r="D167" t="s">
        <v>1185</v>
      </c>
      <c r="E167" s="442" t="s">
        <v>1155</v>
      </c>
      <c r="F167" s="443" t="e">
        <f>(F162 * (1 / F163 - 1 / F164)) / F165 * F166</f>
        <v>#DIV/0!</v>
      </c>
      <c r="H167" s="441" t="s">
        <v>1183</v>
      </c>
      <c r="I167" s="441" t="s">
        <v>1184</v>
      </c>
      <c r="J167" s="441" t="b">
        <f t="shared" si="5"/>
        <v>1</v>
      </c>
    </row>
    <row r="168" spans="1:10" hidden="1" x14ac:dyDescent="0.25">
      <c r="A168" s="441" t="str">
        <f t="shared" si="4"/>
        <v>Residential_HVAC_Ground Source Heat Pump_%DHW Displaced</v>
      </c>
      <c r="B168" t="s">
        <v>1095</v>
      </c>
      <c r="C168" t="s">
        <v>91</v>
      </c>
      <c r="D168" t="s">
        <v>1185</v>
      </c>
      <c r="E168" s="444" t="s">
        <v>1196</v>
      </c>
      <c r="F168" s="445">
        <v>0</v>
      </c>
      <c r="G168" s="441" t="s">
        <v>1197</v>
      </c>
      <c r="H168" s="441" t="s">
        <v>1183</v>
      </c>
      <c r="I168" s="441" t="s">
        <v>1184</v>
      </c>
      <c r="J168" s="441" t="b">
        <f t="shared" si="5"/>
        <v>0</v>
      </c>
    </row>
    <row r="169" spans="1:10" hidden="1" x14ac:dyDescent="0.25">
      <c r="A169" s="441" t="str">
        <f t="shared" si="4"/>
        <v>Residential_HVAC_Ground Source Heat Pump_EF_gas</v>
      </c>
      <c r="B169" t="s">
        <v>1095</v>
      </c>
      <c r="C169" t="s">
        <v>91</v>
      </c>
      <c r="D169" t="s">
        <v>1185</v>
      </c>
      <c r="E169" s="444" t="s">
        <v>1198</v>
      </c>
      <c r="F169" s="445">
        <f>0.6483 - (0.0017 * 40)</f>
        <v>0.58030000000000004</v>
      </c>
      <c r="G169" s="441" t="s">
        <v>1199</v>
      </c>
      <c r="H169" s="441" t="s">
        <v>1183</v>
      </c>
      <c r="I169" s="441" t="s">
        <v>1184</v>
      </c>
      <c r="J169" s="441" t="b">
        <f t="shared" si="5"/>
        <v>1</v>
      </c>
    </row>
    <row r="170" spans="1:10" hidden="1" x14ac:dyDescent="0.25">
      <c r="A170" s="441" t="str">
        <f t="shared" si="4"/>
        <v>Residential_HVAC_Ground Source Heat Pump_EF_elec</v>
      </c>
      <c r="B170" t="s">
        <v>1095</v>
      </c>
      <c r="C170" t="s">
        <v>91</v>
      </c>
      <c r="D170" t="s">
        <v>1185</v>
      </c>
      <c r="E170" s="444" t="s">
        <v>1200</v>
      </c>
      <c r="F170" s="445">
        <f>0.96 - (0.0003 * 40)</f>
        <v>0.94799999999999995</v>
      </c>
      <c r="G170" s="441" t="s">
        <v>1199</v>
      </c>
      <c r="H170" s="441" t="s">
        <v>1183</v>
      </c>
      <c r="I170" s="441" t="s">
        <v>1184</v>
      </c>
      <c r="J170" s="441" t="b">
        <f t="shared" si="5"/>
        <v>1</v>
      </c>
    </row>
    <row r="171" spans="1:10" hidden="1" x14ac:dyDescent="0.25">
      <c r="A171" s="441" t="str">
        <f t="shared" si="4"/>
        <v>Residential_HVAC_Ground Source Heat Pump_GPD</v>
      </c>
      <c r="B171" t="s">
        <v>1095</v>
      </c>
      <c r="C171" t="s">
        <v>91</v>
      </c>
      <c r="D171" t="s">
        <v>1185</v>
      </c>
      <c r="E171" s="444" t="s">
        <v>1201</v>
      </c>
      <c r="F171" s="445">
        <v>17.600000000000001</v>
      </c>
      <c r="H171" s="441" t="s">
        <v>1183</v>
      </c>
      <c r="I171" s="441" t="s">
        <v>1184</v>
      </c>
      <c r="J171" s="441" t="b">
        <f t="shared" si="5"/>
        <v>0</v>
      </c>
    </row>
    <row r="172" spans="1:10" hidden="1" x14ac:dyDescent="0.25">
      <c r="A172" s="441" t="str">
        <f t="shared" si="4"/>
        <v>Residential_HVAC_Ground Source Heat Pump_Household</v>
      </c>
      <c r="B172" t="s">
        <v>1095</v>
      </c>
      <c r="C172" t="s">
        <v>91</v>
      </c>
      <c r="D172" t="s">
        <v>1185</v>
      </c>
      <c r="E172" s="444" t="s">
        <v>1202</v>
      </c>
      <c r="F172" s="445">
        <v>2.56</v>
      </c>
      <c r="G172" s="441" t="s">
        <v>1169</v>
      </c>
      <c r="H172" s="441" t="s">
        <v>1183</v>
      </c>
      <c r="I172" s="441" t="s">
        <v>1184</v>
      </c>
      <c r="J172" s="441" t="b">
        <f t="shared" si="5"/>
        <v>0</v>
      </c>
    </row>
    <row r="173" spans="1:10" hidden="1" x14ac:dyDescent="0.25">
      <c r="A173" s="441" t="str">
        <f t="shared" si="4"/>
        <v>Residential_HVAC_Ground Source Heat Pump_365.25</v>
      </c>
      <c r="B173" t="s">
        <v>1095</v>
      </c>
      <c r="C173" t="s">
        <v>91</v>
      </c>
      <c r="D173" t="s">
        <v>1185</v>
      </c>
      <c r="E173" s="444">
        <v>365.25</v>
      </c>
      <c r="F173" s="445">
        <v>365.25</v>
      </c>
      <c r="H173" s="441" t="s">
        <v>1183</v>
      </c>
      <c r="I173" s="441" t="s">
        <v>1184</v>
      </c>
      <c r="J173" s="441" t="b">
        <f t="shared" si="5"/>
        <v>0</v>
      </c>
    </row>
    <row r="174" spans="1:10" hidden="1" x14ac:dyDescent="0.25">
      <c r="A174" s="441" t="str">
        <f t="shared" si="4"/>
        <v>Residential_HVAC_Ground Source Heat Pump_yWater</v>
      </c>
      <c r="B174" t="s">
        <v>1095</v>
      </c>
      <c r="C174" t="s">
        <v>91</v>
      </c>
      <c r="D174" t="s">
        <v>1185</v>
      </c>
      <c r="E174" s="444" t="s">
        <v>1203</v>
      </c>
      <c r="F174" s="445">
        <v>8.33</v>
      </c>
      <c r="H174" s="441" t="s">
        <v>1183</v>
      </c>
      <c r="I174" s="441" t="s">
        <v>1184</v>
      </c>
      <c r="J174" s="441" t="b">
        <f t="shared" si="5"/>
        <v>0</v>
      </c>
    </row>
    <row r="175" spans="1:10" hidden="1" x14ac:dyDescent="0.25">
      <c r="A175" s="441" t="str">
        <f t="shared" si="4"/>
        <v>Residential_HVAC_Ground Source Heat Pump_T_out</v>
      </c>
      <c r="B175" t="s">
        <v>1095</v>
      </c>
      <c r="C175" t="s">
        <v>91</v>
      </c>
      <c r="D175" t="s">
        <v>1185</v>
      </c>
      <c r="E175" s="444" t="s">
        <v>1204</v>
      </c>
      <c r="F175" s="445">
        <v>125</v>
      </c>
      <c r="H175" s="441" t="s">
        <v>1183</v>
      </c>
      <c r="I175" s="441" t="s">
        <v>1184</v>
      </c>
      <c r="J175" s="441" t="b">
        <f t="shared" si="5"/>
        <v>0</v>
      </c>
    </row>
    <row r="176" spans="1:10" hidden="1" x14ac:dyDescent="0.25">
      <c r="A176" s="441" t="str">
        <f t="shared" si="4"/>
        <v>Residential_HVAC_Ground Source Heat Pump_T_in</v>
      </c>
      <c r="B176" t="s">
        <v>1095</v>
      </c>
      <c r="C176" t="s">
        <v>91</v>
      </c>
      <c r="D176" t="s">
        <v>1185</v>
      </c>
      <c r="E176" s="444" t="s">
        <v>1205</v>
      </c>
      <c r="F176" s="445">
        <v>50.7</v>
      </c>
      <c r="H176" s="441" t="s">
        <v>1183</v>
      </c>
      <c r="I176" s="441" t="s">
        <v>1184</v>
      </c>
      <c r="J176" s="441" t="b">
        <f t="shared" si="5"/>
        <v>0</v>
      </c>
    </row>
    <row r="177" spans="1:10" hidden="1" x14ac:dyDescent="0.25">
      <c r="A177" s="441" t="str">
        <f t="shared" si="4"/>
        <v>Residential_HVAC_Ground Source Heat Pump_1</v>
      </c>
      <c r="B177" t="s">
        <v>1095</v>
      </c>
      <c r="C177" t="s">
        <v>91</v>
      </c>
      <c r="D177" t="s">
        <v>1185</v>
      </c>
      <c r="E177" s="444">
        <v>1</v>
      </c>
      <c r="F177" s="445">
        <v>1</v>
      </c>
      <c r="H177" s="441" t="s">
        <v>1183</v>
      </c>
      <c r="I177" s="441" t="s">
        <v>1184</v>
      </c>
      <c r="J177" s="441" t="b">
        <f t="shared" si="5"/>
        <v>0</v>
      </c>
    </row>
    <row r="178" spans="1:10" hidden="1" x14ac:dyDescent="0.25">
      <c r="A178" s="441" t="str">
        <f t="shared" si="4"/>
        <v>Residential_HVAC_Ground Source Heat Pump_1000000</v>
      </c>
      <c r="B178" t="s">
        <v>1095</v>
      </c>
      <c r="C178" t="s">
        <v>91</v>
      </c>
      <c r="D178" t="s">
        <v>1185</v>
      </c>
      <c r="E178" s="444">
        <v>1000000</v>
      </c>
      <c r="F178" s="458">
        <v>1000000</v>
      </c>
      <c r="H178" s="441" t="s">
        <v>1183</v>
      </c>
      <c r="I178" s="441" t="s">
        <v>1184</v>
      </c>
      <c r="J178" s="441" t="b">
        <f t="shared" si="5"/>
        <v>0</v>
      </c>
    </row>
    <row r="179" spans="1:10" hidden="1" x14ac:dyDescent="0.25">
      <c r="A179" s="441" t="str">
        <f t="shared" si="4"/>
        <v>Residential_HVAC_Ground Source Heat Pump_GSHPSiteWaterImpact_gas</v>
      </c>
      <c r="B179" t="s">
        <v>1095</v>
      </c>
      <c r="C179" t="s">
        <v>91</v>
      </c>
      <c r="D179" t="s">
        <v>1185</v>
      </c>
      <c r="E179" s="442" t="s">
        <v>1206</v>
      </c>
      <c r="F179" s="443">
        <f>(F168*(1/F169*F171*F172*F173*F174*(F175-F176)*F177))/F178</f>
        <v>0</v>
      </c>
      <c r="H179" s="441" t="s">
        <v>1183</v>
      </c>
      <c r="I179" s="441" t="s">
        <v>1184</v>
      </c>
      <c r="J179" s="441" t="b">
        <f t="shared" si="5"/>
        <v>1</v>
      </c>
    </row>
    <row r="180" spans="1:10" hidden="1" x14ac:dyDescent="0.25">
      <c r="A180" s="441" t="str">
        <f t="shared" si="4"/>
        <v>Residential_HVAC_Ground Source Heat Pump_GSHPSiteWaterImpact_elec</v>
      </c>
      <c r="B180" t="s">
        <v>1095</v>
      </c>
      <c r="C180" t="s">
        <v>91</v>
      </c>
      <c r="D180" t="s">
        <v>1185</v>
      </c>
      <c r="E180" s="442" t="s">
        <v>1207</v>
      </c>
      <c r="F180" s="443">
        <f>(F168*(1/F170*F171*F172*F173*F174*(F175-F176)*F177))/F178</f>
        <v>0</v>
      </c>
      <c r="H180" s="441" t="s">
        <v>1183</v>
      </c>
      <c r="I180" s="441" t="s">
        <v>1184</v>
      </c>
      <c r="J180" s="441" t="b">
        <f t="shared" si="5"/>
        <v>1</v>
      </c>
    </row>
    <row r="181" spans="1:10" hidden="1" x14ac:dyDescent="0.25">
      <c r="A181" s="441" t="str">
        <f t="shared" si="4"/>
        <v>Residential_HVAC_Ground Source Heat Pump_kWh Saved per Unit</v>
      </c>
      <c r="B181" t="s">
        <v>1095</v>
      </c>
      <c r="C181" t="s">
        <v>91</v>
      </c>
      <c r="D181" t="s">
        <v>1185</v>
      </c>
      <c r="E181" s="450" t="s">
        <v>1156</v>
      </c>
      <c r="F181" s="451" t="e">
        <f>((F141+F150+F159)*10^6)/3412</f>
        <v>#DIV/0!</v>
      </c>
      <c r="H181" s="441" t="s">
        <v>1183</v>
      </c>
      <c r="I181" s="441" t="s">
        <v>1184</v>
      </c>
      <c r="J181" s="441" t="b">
        <f t="shared" si="5"/>
        <v>1</v>
      </c>
    </row>
    <row r="182" spans="1:10" hidden="1" x14ac:dyDescent="0.25">
      <c r="A182" s="441" t="str">
        <f t="shared" si="4"/>
        <v>Residential_HVAC_Ground Source Heat Pump_Coincident Peak kW Saved per Unit</v>
      </c>
      <c r="B182" t="s">
        <v>1095</v>
      </c>
      <c r="C182" t="s">
        <v>91</v>
      </c>
      <c r="D182" t="s">
        <v>1185</v>
      </c>
      <c r="E182" s="450" t="s">
        <v>1157</v>
      </c>
      <c r="F182" s="451" t="e">
        <f>F167</f>
        <v>#DIV/0!</v>
      </c>
      <c r="H182" s="441" t="s">
        <v>1183</v>
      </c>
      <c r="I182" s="441" t="s">
        <v>1184</v>
      </c>
      <c r="J182" s="441" t="b">
        <f t="shared" si="5"/>
        <v>1</v>
      </c>
    </row>
    <row r="183" spans="1:10" hidden="1" x14ac:dyDescent="0.25">
      <c r="A183" s="441" t="str">
        <f t="shared" si="4"/>
        <v>Residential_HVAC_Ground Source Heat Pump_Propane Gal Saved per Unit</v>
      </c>
      <c r="B183" t="s">
        <v>1095</v>
      </c>
      <c r="C183" t="s">
        <v>91</v>
      </c>
      <c r="D183" t="s">
        <v>1185</v>
      </c>
      <c r="E183" s="450" t="s">
        <v>1158</v>
      </c>
      <c r="F183" s="451" t="e">
        <f>(F133*10^6)/91333</f>
        <v>#DIV/0!</v>
      </c>
      <c r="G183" s="441" t="s">
        <v>1159</v>
      </c>
      <c r="H183" s="441" t="s">
        <v>1183</v>
      </c>
      <c r="I183" s="441" t="s">
        <v>1184</v>
      </c>
      <c r="J183" s="441" t="b">
        <f t="shared" si="5"/>
        <v>1</v>
      </c>
    </row>
    <row r="184" spans="1:10" hidden="1" x14ac:dyDescent="0.25">
      <c r="A184" s="441" t="str">
        <f t="shared" si="4"/>
        <v>Residential_HVAC_Ground Source Heat Pump_Lifetime (years)</v>
      </c>
      <c r="B184" t="s">
        <v>1095</v>
      </c>
      <c r="C184" t="s">
        <v>91</v>
      </c>
      <c r="D184" t="s">
        <v>1185</v>
      </c>
      <c r="E184" s="450" t="s">
        <v>1160</v>
      </c>
      <c r="F184" s="451">
        <v>16</v>
      </c>
      <c r="H184" s="441" t="s">
        <v>1183</v>
      </c>
      <c r="I184" s="441" t="s">
        <v>1184</v>
      </c>
      <c r="J184" s="441" t="b">
        <f t="shared" si="5"/>
        <v>0</v>
      </c>
    </row>
    <row r="185" spans="1:10" hidden="1" x14ac:dyDescent="0.25">
      <c r="A185" s="441" t="str">
        <f t="shared" si="4"/>
        <v>Residential_HVAC_Ground Source Heat Pump_Incremental Cost</v>
      </c>
      <c r="B185" t="s">
        <v>1095</v>
      </c>
      <c r="C185" t="s">
        <v>91</v>
      </c>
      <c r="D185" t="s">
        <v>1185</v>
      </c>
      <c r="E185" s="450" t="s">
        <v>1161</v>
      </c>
      <c r="F185" s="452">
        <f>3957 * (F129 / 12000)</f>
        <v>0</v>
      </c>
      <c r="H185" s="441" t="s">
        <v>1183</v>
      </c>
      <c r="I185" s="441" t="s">
        <v>1184</v>
      </c>
      <c r="J185" s="441" t="b">
        <f t="shared" si="5"/>
        <v>1</v>
      </c>
    </row>
    <row r="186" spans="1:10" hidden="1" x14ac:dyDescent="0.25">
      <c r="A186" s="441" t="str">
        <f t="shared" si="4"/>
        <v>Residential_HVAC_Ground Source Heat Pump_BTU Impact_Existing_Fossil Fuel</v>
      </c>
      <c r="B186" t="s">
        <v>1095</v>
      </c>
      <c r="C186" t="s">
        <v>91</v>
      </c>
      <c r="D186" t="s">
        <v>1185</v>
      </c>
      <c r="E186" s="450" t="s">
        <v>1163</v>
      </c>
      <c r="F186" s="451" t="e">
        <f>-F133*10^6</f>
        <v>#DIV/0!</v>
      </c>
      <c r="H186" s="441" t="s">
        <v>1183</v>
      </c>
      <c r="I186" s="441" t="s">
        <v>1184</v>
      </c>
      <c r="J186" s="441" t="b">
        <f t="shared" si="5"/>
        <v>1</v>
      </c>
    </row>
    <row r="187" spans="1:10" hidden="1" x14ac:dyDescent="0.25">
      <c r="A187" s="441" t="str">
        <f t="shared" si="4"/>
        <v>Residential_HVAC_Ground Source Heat Pump_BTU Impact_Existing_Winter Electricity</v>
      </c>
      <c r="B187" t="s">
        <v>1095</v>
      </c>
      <c r="C187" t="s">
        <v>91</v>
      </c>
      <c r="D187" t="s">
        <v>1185</v>
      </c>
      <c r="E187" s="450" t="s">
        <v>1164</v>
      </c>
      <c r="F187" s="451" t="e">
        <f>-F141*10^6</f>
        <v>#DIV/0!</v>
      </c>
      <c r="H187" s="441" t="s">
        <v>1183</v>
      </c>
      <c r="I187" s="441" t="s">
        <v>1184</v>
      </c>
      <c r="J187" s="441" t="b">
        <f t="shared" si="5"/>
        <v>1</v>
      </c>
    </row>
    <row r="188" spans="1:10" hidden="1" x14ac:dyDescent="0.25">
      <c r="A188" s="441" t="str">
        <f t="shared" si="4"/>
        <v>Residential_HVAC_Ground Source Heat Pump_BTU Impact_Existing_Summer Electricity</v>
      </c>
      <c r="B188" t="s">
        <v>1095</v>
      </c>
      <c r="C188" t="s">
        <v>91</v>
      </c>
      <c r="D188" t="s">
        <v>1185</v>
      </c>
      <c r="E188" s="450" t="s">
        <v>1165</v>
      </c>
      <c r="F188" s="451">
        <f xml:space="preserve"> -((( F153 * (IF([18]Dashboard_FS!$K$17="Yes",1/(F154),0) - 0))/ F156 * F157 ) / F158)*10^6</f>
        <v>0</v>
      </c>
      <c r="H188" s="441" t="s">
        <v>1183</v>
      </c>
      <c r="I188" s="441" t="s">
        <v>1184</v>
      </c>
      <c r="J188" s="441" t="b">
        <f t="shared" si="5"/>
        <v>1</v>
      </c>
    </row>
    <row r="189" spans="1:10" hidden="1" x14ac:dyDescent="0.25">
      <c r="A189" s="441" t="str">
        <f t="shared" si="4"/>
        <v>Residential_HVAC_Ground Source Heat Pump_BTU Impact_New_Fossil Fuel</v>
      </c>
      <c r="B189" t="s">
        <v>1095</v>
      </c>
      <c r="C189" t="s">
        <v>91</v>
      </c>
      <c r="D189" t="s">
        <v>1185</v>
      </c>
      <c r="E189" s="450" t="s">
        <v>1166</v>
      </c>
      <c r="F189" s="451">
        <v>0</v>
      </c>
      <c r="H189" s="441" t="s">
        <v>1183</v>
      </c>
      <c r="I189" s="441" t="s">
        <v>1184</v>
      </c>
      <c r="J189" s="441" t="b">
        <f t="shared" si="5"/>
        <v>0</v>
      </c>
    </row>
    <row r="190" spans="1:10" hidden="1" x14ac:dyDescent="0.25">
      <c r="A190" s="441" t="str">
        <f t="shared" si="4"/>
        <v>Residential_HVAC_Ground Source Heat Pump_BTU Impact_New_Winter Electricity</v>
      </c>
      <c r="B190" t="s">
        <v>1095</v>
      </c>
      <c r="C190" t="s">
        <v>91</v>
      </c>
      <c r="D190" t="s">
        <v>1185</v>
      </c>
      <c r="E190" s="450" t="s">
        <v>1167</v>
      </c>
      <c r="F190" s="451" t="e">
        <f>-F150*10^6</f>
        <v>#DIV/0!</v>
      </c>
      <c r="H190" s="441" t="s">
        <v>1183</v>
      </c>
      <c r="I190" s="441" t="s">
        <v>1184</v>
      </c>
      <c r="J190" s="441" t="b">
        <f t="shared" si="5"/>
        <v>1</v>
      </c>
    </row>
    <row r="191" spans="1:10" hidden="1" x14ac:dyDescent="0.25">
      <c r="A191" s="441" t="str">
        <f t="shared" si="4"/>
        <v>Residential_HVAC_Ground Source Heat Pump_BTU Impact_New_Summer Electricity</v>
      </c>
      <c r="B191" t="s">
        <v>1095</v>
      </c>
      <c r="C191" t="s">
        <v>91</v>
      </c>
      <c r="D191" t="s">
        <v>1185</v>
      </c>
      <c r="E191" s="450" t="s">
        <v>1168</v>
      </c>
      <c r="F191" s="451" t="e">
        <f xml:space="preserve"> - ((( F153 * (0 - 1/( F155)))/ F156 * F157 ) / F158)*10^6</f>
        <v>#DIV/0!</v>
      </c>
      <c r="H191" s="441" t="s">
        <v>1183</v>
      </c>
      <c r="I191" s="441" t="s">
        <v>1184</v>
      </c>
      <c r="J191" s="441" t="b">
        <f t="shared" si="5"/>
        <v>1</v>
      </c>
    </row>
    <row r="192" spans="1:10" hidden="1" x14ac:dyDescent="0.25">
      <c r="A192" s="441" t="str">
        <f t="shared" si="4"/>
        <v>Residential_HVAC_Ground Source Heat Pump_</v>
      </c>
      <c r="B192" t="s">
        <v>1095</v>
      </c>
      <c r="C192" t="s">
        <v>91</v>
      </c>
      <c r="D192" t="s">
        <v>1185</v>
      </c>
      <c r="H192" s="441" t="s">
        <v>1183</v>
      </c>
      <c r="I192" s="441" t="s">
        <v>1184</v>
      </c>
      <c r="J192" s="441" t="b">
        <f t="shared" si="5"/>
        <v>0</v>
      </c>
    </row>
    <row r="193" spans="1:10" x14ac:dyDescent="0.25">
      <c r="A193" s="441" t="str">
        <f t="shared" si="2"/>
        <v>Residential_Hot Water_Heat Pump Water Heater_UEFBASE</v>
      </c>
      <c r="B193" t="s">
        <v>1095</v>
      </c>
      <c r="C193" t="s">
        <v>1097</v>
      </c>
      <c r="D193" t="s">
        <v>43</v>
      </c>
      <c r="E193" s="442" t="s">
        <v>1208</v>
      </c>
      <c r="F193" s="443">
        <f>IF('WH Bill Analysis'!AE6&gt;55, 2.1171 - (0.0011 * 'WH Bill Analysis'!AE6),0.9307 - (0.0002 * 'WH Bill Analysis'!AE6))</f>
        <v>0.93069999999999997</v>
      </c>
      <c r="G193" s="441" t="s">
        <v>1209</v>
      </c>
      <c r="H193" s="441" t="s">
        <v>1210</v>
      </c>
      <c r="I193" s="441" t="s">
        <v>1211</v>
      </c>
      <c r="J193" s="441" t="b">
        <f t="shared" si="3"/>
        <v>1</v>
      </c>
    </row>
    <row r="194" spans="1:10" x14ac:dyDescent="0.25">
      <c r="A194" s="441" t="str">
        <f t="shared" si="2"/>
        <v>Residential_Hot Water_Heat Pump Water Heater_UEFEFFICIENT</v>
      </c>
      <c r="B194" t="s">
        <v>1095</v>
      </c>
      <c r="C194" t="s">
        <v>1097</v>
      </c>
      <c r="D194" t="s">
        <v>43</v>
      </c>
      <c r="E194" s="444" t="s">
        <v>1212</v>
      </c>
      <c r="F194" s="460">
        <f>'WH Bill Analysis'!L10</f>
        <v>0</v>
      </c>
      <c r="H194" s="441" t="s">
        <v>1210</v>
      </c>
      <c r="I194" s="441" t="s">
        <v>1211</v>
      </c>
      <c r="J194" s="441" t="b">
        <f t="shared" si="3"/>
        <v>1</v>
      </c>
    </row>
    <row r="195" spans="1:10" x14ac:dyDescent="0.25">
      <c r="A195" s="441" t="str">
        <f t="shared" si="2"/>
        <v>Residential_Hot Water_Heat Pump Water Heater_GPD</v>
      </c>
      <c r="B195" t="s">
        <v>1095</v>
      </c>
      <c r="C195" t="s">
        <v>1097</v>
      </c>
      <c r="D195" t="s">
        <v>43</v>
      </c>
      <c r="E195" s="444" t="s">
        <v>1201</v>
      </c>
      <c r="F195" s="445">
        <v>17.600000000000001</v>
      </c>
      <c r="H195" s="441" t="s">
        <v>1210</v>
      </c>
      <c r="I195" s="441" t="s">
        <v>1211</v>
      </c>
      <c r="J195" s="441" t="b">
        <f t="shared" si="3"/>
        <v>0</v>
      </c>
    </row>
    <row r="196" spans="1:10" x14ac:dyDescent="0.25">
      <c r="A196" s="441" t="str">
        <f t="shared" si="2"/>
        <v>Residential_Hot Water_Heat Pump Water Heater_Household</v>
      </c>
      <c r="B196" t="s">
        <v>1095</v>
      </c>
      <c r="C196" t="s">
        <v>1097</v>
      </c>
      <c r="D196" t="s">
        <v>43</v>
      </c>
      <c r="E196" s="444" t="s">
        <v>1202</v>
      </c>
      <c r="F196" s="445">
        <v>2.76</v>
      </c>
      <c r="G196" s="441" t="s">
        <v>1213</v>
      </c>
      <c r="H196" s="441" t="s">
        <v>1210</v>
      </c>
      <c r="I196" s="441" t="s">
        <v>1211</v>
      </c>
      <c r="J196" s="441" t="b">
        <f t="shared" si="3"/>
        <v>0</v>
      </c>
    </row>
    <row r="197" spans="1:10" x14ac:dyDescent="0.25">
      <c r="A197" s="441" t="str">
        <f t="shared" si="2"/>
        <v>Residential_Hot Water_Heat Pump Water Heater_365.25</v>
      </c>
      <c r="B197" t="s">
        <v>1095</v>
      </c>
      <c r="C197" t="s">
        <v>1097</v>
      </c>
      <c r="D197" t="s">
        <v>43</v>
      </c>
      <c r="E197" s="444">
        <v>365.25</v>
      </c>
      <c r="F197" s="445">
        <v>365.25</v>
      </c>
      <c r="H197" s="441" t="s">
        <v>1210</v>
      </c>
      <c r="I197" s="441" t="s">
        <v>1211</v>
      </c>
      <c r="J197" s="441" t="b">
        <f t="shared" si="3"/>
        <v>0</v>
      </c>
    </row>
    <row r="198" spans="1:10" x14ac:dyDescent="0.25">
      <c r="A198" s="441" t="str">
        <f t="shared" si="2"/>
        <v>Residential_Hot Water_Heat Pump Water Heater_γWater</v>
      </c>
      <c r="B198" t="s">
        <v>1095</v>
      </c>
      <c r="C198" t="s">
        <v>1097</v>
      </c>
      <c r="D198" t="s">
        <v>43</v>
      </c>
      <c r="E198" s="444" t="s">
        <v>1214</v>
      </c>
      <c r="F198" s="445">
        <v>8.33</v>
      </c>
      <c r="H198" s="441" t="s">
        <v>1210</v>
      </c>
      <c r="I198" s="441" t="s">
        <v>1211</v>
      </c>
      <c r="J198" s="441" t="b">
        <f t="shared" si="3"/>
        <v>0</v>
      </c>
    </row>
    <row r="199" spans="1:10" x14ac:dyDescent="0.25">
      <c r="A199" s="441" t="str">
        <f t="shared" si="2"/>
        <v>Residential_Hot Water_Heat Pump Water Heater_TOUT</v>
      </c>
      <c r="B199" t="s">
        <v>1095</v>
      </c>
      <c r="C199" t="s">
        <v>1097</v>
      </c>
      <c r="D199" t="s">
        <v>43</v>
      </c>
      <c r="E199" s="444" t="s">
        <v>1215</v>
      </c>
      <c r="F199" s="445">
        <v>125</v>
      </c>
      <c r="H199" s="441" t="s">
        <v>1210</v>
      </c>
      <c r="I199" s="441" t="s">
        <v>1211</v>
      </c>
      <c r="J199" s="441" t="b">
        <f t="shared" si="3"/>
        <v>0</v>
      </c>
    </row>
    <row r="200" spans="1:10" x14ac:dyDescent="0.25">
      <c r="A200" s="441" t="str">
        <f t="shared" si="2"/>
        <v>Residential_Hot Water_Heat Pump Water Heater_TIN</v>
      </c>
      <c r="B200" t="s">
        <v>1095</v>
      </c>
      <c r="C200" t="s">
        <v>1097</v>
      </c>
      <c r="D200" t="s">
        <v>43</v>
      </c>
      <c r="E200" s="444" t="s">
        <v>1216</v>
      </c>
      <c r="F200" s="445">
        <v>50.7</v>
      </c>
      <c r="H200" s="441" t="s">
        <v>1210</v>
      </c>
      <c r="I200" s="441" t="s">
        <v>1211</v>
      </c>
      <c r="J200" s="441" t="b">
        <f t="shared" si="3"/>
        <v>0</v>
      </c>
    </row>
    <row r="201" spans="1:10" x14ac:dyDescent="0.25">
      <c r="A201" s="441" t="str">
        <f t="shared" si="2"/>
        <v>Residential_Hot Water_Heat Pump Water Heater_3412</v>
      </c>
      <c r="B201" t="s">
        <v>1095</v>
      </c>
      <c r="C201" t="s">
        <v>1097</v>
      </c>
      <c r="D201" t="s">
        <v>43</v>
      </c>
      <c r="E201" s="444">
        <v>3412</v>
      </c>
      <c r="F201" s="445">
        <v>3412</v>
      </c>
      <c r="H201" s="441" t="s">
        <v>1210</v>
      </c>
      <c r="I201" s="441" t="s">
        <v>1211</v>
      </c>
      <c r="J201" s="441" t="b">
        <f t="shared" si="3"/>
        <v>0</v>
      </c>
    </row>
    <row r="202" spans="1:10" x14ac:dyDescent="0.25">
      <c r="A202" s="441" t="str">
        <f t="shared" si="2"/>
        <v>Residential_Hot Water_Heat Pump Water Heater_LF</v>
      </c>
      <c r="B202" t="s">
        <v>1095</v>
      </c>
      <c r="C202" t="s">
        <v>1097</v>
      </c>
      <c r="D202" t="s">
        <v>43</v>
      </c>
      <c r="E202" s="444" t="s">
        <v>234</v>
      </c>
      <c r="F202" s="445">
        <v>0.22</v>
      </c>
      <c r="G202" s="441" t="s">
        <v>1217</v>
      </c>
      <c r="H202" s="441" t="s">
        <v>1210</v>
      </c>
      <c r="I202" s="441" t="s">
        <v>1211</v>
      </c>
      <c r="J202" s="441" t="b">
        <f t="shared" si="3"/>
        <v>0</v>
      </c>
    </row>
    <row r="203" spans="1:10" x14ac:dyDescent="0.25">
      <c r="A203" s="441" t="str">
        <f t="shared" si="2"/>
        <v>Residential_Hot Water_Heat Pump Water Heater_0.27</v>
      </c>
      <c r="B203" t="s">
        <v>1095</v>
      </c>
      <c r="C203" t="s">
        <v>1097</v>
      </c>
      <c r="D203" t="s">
        <v>43</v>
      </c>
      <c r="E203" s="459">
        <v>0.27</v>
      </c>
      <c r="F203" s="445">
        <v>0.27</v>
      </c>
      <c r="H203" s="441" t="s">
        <v>1210</v>
      </c>
      <c r="I203" s="441" t="s">
        <v>1211</v>
      </c>
      <c r="J203" s="441" t="b">
        <f t="shared" si="3"/>
        <v>0</v>
      </c>
    </row>
    <row r="204" spans="1:10" x14ac:dyDescent="0.25">
      <c r="A204" s="441" t="str">
        <f t="shared" si="2"/>
        <v>Residential_Hot Water_Heat Pump Water Heater_COPCOOL</v>
      </c>
      <c r="B204" t="s">
        <v>1095</v>
      </c>
      <c r="C204" t="s">
        <v>1097</v>
      </c>
      <c r="D204" t="s">
        <v>43</v>
      </c>
      <c r="E204" s="444" t="s">
        <v>1218</v>
      </c>
      <c r="F204" s="460">
        <v>2.8</v>
      </c>
      <c r="G204" s="441" t="s">
        <v>1219</v>
      </c>
      <c r="H204" s="441" t="s">
        <v>1210</v>
      </c>
      <c r="I204" s="441" t="s">
        <v>1211</v>
      </c>
      <c r="J204" s="441" t="b">
        <f t="shared" si="3"/>
        <v>0</v>
      </c>
    </row>
    <row r="205" spans="1:10" x14ac:dyDescent="0.25">
      <c r="A205" s="441" t="str">
        <f t="shared" si="2"/>
        <v>Residential_Hot Water_Heat Pump Water Heater_LM</v>
      </c>
      <c r="B205" t="s">
        <v>1095</v>
      </c>
      <c r="C205" t="s">
        <v>1097</v>
      </c>
      <c r="D205" t="s">
        <v>43</v>
      </c>
      <c r="E205" s="444" t="s">
        <v>1220</v>
      </c>
      <c r="F205" s="445">
        <v>1.33</v>
      </c>
      <c r="H205" s="441" t="s">
        <v>1210</v>
      </c>
      <c r="I205" s="441" t="s">
        <v>1211</v>
      </c>
      <c r="J205" s="441" t="b">
        <f t="shared" si="3"/>
        <v>0</v>
      </c>
    </row>
    <row r="206" spans="1:10" x14ac:dyDescent="0.25">
      <c r="A206" s="441" t="str">
        <f t="shared" si="2"/>
        <v>Residential_Hot Water_Heat Pump Water Heater_kWh_cooling</v>
      </c>
      <c r="B206" t="s">
        <v>1095</v>
      </c>
      <c r="C206" t="s">
        <v>1097</v>
      </c>
      <c r="D206" t="s">
        <v>43</v>
      </c>
      <c r="E206" s="442" t="s">
        <v>1221</v>
      </c>
      <c r="F206" s="443" t="e">
        <f>(((((F195 * F196 * F197 * F198 * (F199 - F200) * 1) / F201) - ((1/ F194 * F195 * F196 * F197 * F198 * (F199 - F200) * 1) / F201)) * F202 * F203) / F204) * F205</f>
        <v>#DIV/0!</v>
      </c>
      <c r="H206" s="441" t="s">
        <v>1210</v>
      </c>
      <c r="I206" s="441" t="s">
        <v>1211</v>
      </c>
      <c r="J206" s="441" t="b">
        <f t="shared" si="3"/>
        <v>1</v>
      </c>
    </row>
    <row r="207" spans="1:10" x14ac:dyDescent="0.25">
      <c r="A207" s="441" t="str">
        <f t="shared" si="2"/>
        <v>Residential_Hot Water_Heat Pump Water Heater_0.37</v>
      </c>
      <c r="B207" t="s">
        <v>1095</v>
      </c>
      <c r="C207" t="s">
        <v>1097</v>
      </c>
      <c r="D207" t="s">
        <v>43</v>
      </c>
      <c r="E207" s="459">
        <v>0.37</v>
      </c>
      <c r="F207" s="445">
        <v>0.37</v>
      </c>
      <c r="H207" s="441" t="s">
        <v>1210</v>
      </c>
      <c r="I207" s="441" t="s">
        <v>1211</v>
      </c>
      <c r="J207" s="441" t="b">
        <f t="shared" si="3"/>
        <v>0</v>
      </c>
    </row>
    <row r="208" spans="1:10" x14ac:dyDescent="0.25">
      <c r="A208" s="441" t="str">
        <f t="shared" si="2"/>
        <v>Residential_Hot Water_Heat Pump Water Heater_COPHEAT</v>
      </c>
      <c r="B208" t="s">
        <v>1095</v>
      </c>
      <c r="C208" t="s">
        <v>1097</v>
      </c>
      <c r="D208" t="s">
        <v>43</v>
      </c>
      <c r="E208" s="442" t="s">
        <v>1222</v>
      </c>
      <c r="F208" s="461">
        <f>(7/3.412)*0.85</f>
        <v>1.7438452520515826</v>
      </c>
      <c r="H208" s="441" t="s">
        <v>1210</v>
      </c>
      <c r="I208" s="441" t="s">
        <v>1211</v>
      </c>
      <c r="J208" s="441" t="b">
        <f t="shared" si="3"/>
        <v>1</v>
      </c>
    </row>
    <row r="209" spans="1:10" x14ac:dyDescent="0.25">
      <c r="A209" s="441" t="str">
        <f t="shared" ref="A209:A311" si="6">B209&amp;"_"&amp;C209&amp;"_"&amp;D209&amp;"_"&amp;E209</f>
        <v>Residential_Hot Water_Heat Pump Water Heater_%NaturalGas</v>
      </c>
      <c r="B209" t="s">
        <v>1095</v>
      </c>
      <c r="C209" t="s">
        <v>1097</v>
      </c>
      <c r="D209" t="s">
        <v>43</v>
      </c>
      <c r="E209" s="444" t="s">
        <v>1223</v>
      </c>
      <c r="F209" s="445">
        <v>0</v>
      </c>
      <c r="H209" s="441" t="s">
        <v>1210</v>
      </c>
      <c r="I209" s="441" t="s">
        <v>1211</v>
      </c>
      <c r="J209" s="441" t="b">
        <f t="shared" si="3"/>
        <v>0</v>
      </c>
    </row>
    <row r="210" spans="1:10" x14ac:dyDescent="0.25">
      <c r="A210" s="441" t="str">
        <f t="shared" si="6"/>
        <v>Residential_Hot Water_Heat Pump Water Heater_kWh_heating</v>
      </c>
      <c r="B210" t="s">
        <v>1095</v>
      </c>
      <c r="C210" t="s">
        <v>1097</v>
      </c>
      <c r="D210" t="s">
        <v>43</v>
      </c>
      <c r="E210" s="442" t="s">
        <v>1224</v>
      </c>
      <c r="F210" s="446" t="e">
        <f xml:space="preserve"> (((((F195 * F196 * F197 * F198 * (F199 - F200) * 1) / F201) - ((1/ F194 * F195 * F196 * F197 * F198 * (F199 - F200) * 1) / F201)) * F202 * F207) / F208) * (1 - F209)</f>
        <v>#DIV/0!</v>
      </c>
      <c r="H210" s="441" t="s">
        <v>1210</v>
      </c>
      <c r="I210" s="441" t="s">
        <v>1211</v>
      </c>
      <c r="J210" s="441" t="b">
        <f t="shared" si="3"/>
        <v>1</v>
      </c>
    </row>
    <row r="211" spans="1:10" x14ac:dyDescent="0.25">
      <c r="A211" s="441" t="str">
        <f t="shared" si="6"/>
        <v>Residential_Hot Water_Heat Pump Water Heater_Deh_Reduction</v>
      </c>
      <c r="B211" t="s">
        <v>1095</v>
      </c>
      <c r="C211" t="s">
        <v>1097</v>
      </c>
      <c r="D211" t="s">
        <v>43</v>
      </c>
      <c r="E211" s="444" t="s">
        <v>1225</v>
      </c>
      <c r="F211" s="445">
        <v>72</v>
      </c>
      <c r="G211" s="441" t="s">
        <v>1219</v>
      </c>
      <c r="H211" s="441" t="s">
        <v>1210</v>
      </c>
      <c r="I211" s="441" t="s">
        <v>1211</v>
      </c>
      <c r="J211" s="441" t="b">
        <f t="shared" si="3"/>
        <v>0</v>
      </c>
    </row>
    <row r="212" spans="1:10" x14ac:dyDescent="0.25">
      <c r="A212" s="441" t="str">
        <f t="shared" si="6"/>
        <v>Residential_Hot Water_Heat Pump Water Heater_Delta_kWh</v>
      </c>
      <c r="B212" t="s">
        <v>1095</v>
      </c>
      <c r="C212" t="s">
        <v>1097</v>
      </c>
      <c r="D212" t="s">
        <v>43</v>
      </c>
      <c r="E212" s="442" t="s">
        <v>1226</v>
      </c>
      <c r="F212" s="443" t="e">
        <f xml:space="preserve"> (((0 - 1/ F194 ) * F195 * F196 * F197 * F198 * ( F199 - F200 ) * 1) / F201 ) + F206 - F210 + F211</f>
        <v>#DIV/0!</v>
      </c>
      <c r="H212" s="441" t="s">
        <v>1210</v>
      </c>
      <c r="I212" s="441" t="s">
        <v>1211</v>
      </c>
      <c r="J212" s="441" t="b">
        <f t="shared" si="3"/>
        <v>1</v>
      </c>
    </row>
    <row r="213" spans="1:10" x14ac:dyDescent="0.25">
      <c r="A213" s="441" t="str">
        <f t="shared" si="6"/>
        <v>Residential_Hot Water_Heat Pump Water Heater_Hours</v>
      </c>
      <c r="B213" t="s">
        <v>1095</v>
      </c>
      <c r="C213" t="s">
        <v>1097</v>
      </c>
      <c r="D213" t="s">
        <v>43</v>
      </c>
      <c r="E213" s="444" t="s">
        <v>1227</v>
      </c>
      <c r="F213" s="445">
        <v>2533</v>
      </c>
      <c r="H213" s="441" t="s">
        <v>1210</v>
      </c>
      <c r="I213" s="441" t="s">
        <v>1211</v>
      </c>
      <c r="J213" s="441" t="b">
        <f t="shared" si="3"/>
        <v>0</v>
      </c>
    </row>
    <row r="214" spans="1:10" x14ac:dyDescent="0.25">
      <c r="A214" s="441" t="str">
        <f t="shared" si="6"/>
        <v>Residential_Hot Water_Heat Pump Water Heater_CF</v>
      </c>
      <c r="B214" t="s">
        <v>1095</v>
      </c>
      <c r="C214" t="s">
        <v>1097</v>
      </c>
      <c r="D214" t="s">
        <v>43</v>
      </c>
      <c r="E214" s="444" t="s">
        <v>1153</v>
      </c>
      <c r="F214" s="445">
        <v>0.12</v>
      </c>
      <c r="H214" s="441" t="s">
        <v>1210</v>
      </c>
      <c r="I214" s="441" t="s">
        <v>1211</v>
      </c>
      <c r="J214" s="441" t="b">
        <f t="shared" ref="J214:J321" si="7">_xlfn.ISFORMULA(F214)</f>
        <v>0</v>
      </c>
    </row>
    <row r="215" spans="1:10" x14ac:dyDescent="0.25">
      <c r="A215" s="441" t="str">
        <f t="shared" si="6"/>
        <v>Residential_Hot Water_Heat Pump Water Heater_Delta_kW</v>
      </c>
      <c r="B215" t="s">
        <v>1095</v>
      </c>
      <c r="C215" t="s">
        <v>1097</v>
      </c>
      <c r="D215" t="s">
        <v>43</v>
      </c>
      <c r="E215" s="442" t="s">
        <v>1155</v>
      </c>
      <c r="F215" s="443" t="e">
        <f xml:space="preserve"> F212 / F213 * F214</f>
        <v>#DIV/0!</v>
      </c>
      <c r="H215" s="441" t="s">
        <v>1210</v>
      </c>
      <c r="I215" s="441" t="s">
        <v>1211</v>
      </c>
      <c r="J215" s="441" t="b">
        <f t="shared" si="7"/>
        <v>1</v>
      </c>
    </row>
    <row r="216" spans="1:10" x14ac:dyDescent="0.25">
      <c r="A216" s="441" t="str">
        <f t="shared" si="6"/>
        <v>Residential_Hot Water_Heat Pump Water Heater_UEFBASE</v>
      </c>
      <c r="B216" t="s">
        <v>1095</v>
      </c>
      <c r="C216" t="s">
        <v>1097</v>
      </c>
      <c r="D216" t="s">
        <v>43</v>
      </c>
      <c r="E216" s="444" t="s">
        <v>1208</v>
      </c>
      <c r="F216" s="481">
        <f>IF('WH Bill Analysis'!AE6&gt;55,0.7689-(0.0005*'WH Bill Analysis'!AE6),0.6483-(0.0017*'WH Bill Analysis'!AE6))</f>
        <v>0.64829999999999999</v>
      </c>
      <c r="G216" s="441" t="s">
        <v>1228</v>
      </c>
      <c r="H216" s="441" t="s">
        <v>1210</v>
      </c>
      <c r="I216" s="441" t="s">
        <v>1211</v>
      </c>
      <c r="J216" s="441" t="b">
        <f t="shared" si="7"/>
        <v>1</v>
      </c>
    </row>
    <row r="217" spans="1:10" x14ac:dyDescent="0.25">
      <c r="A217" s="441" t="str">
        <f t="shared" si="6"/>
        <v>Residential_Hot Water_Heat Pump Water Heater_UEFEFFICIENT</v>
      </c>
      <c r="B217" t="s">
        <v>1095</v>
      </c>
      <c r="C217" t="s">
        <v>1097</v>
      </c>
      <c r="D217" t="s">
        <v>43</v>
      </c>
      <c r="E217" s="444" t="s">
        <v>1212</v>
      </c>
      <c r="F217" s="447">
        <v>0.64</v>
      </c>
      <c r="G217" s="441" t="s">
        <v>1228</v>
      </c>
      <c r="H217" s="441" t="s">
        <v>1210</v>
      </c>
      <c r="I217" s="441" t="s">
        <v>1211</v>
      </c>
      <c r="J217" s="441" t="b">
        <f t="shared" si="7"/>
        <v>0</v>
      </c>
    </row>
    <row r="218" spans="1:10" x14ac:dyDescent="0.25">
      <c r="A218" s="441" t="str">
        <f t="shared" si="6"/>
        <v>Residential_Hot Water_Heat Pump Water Heater_GPD</v>
      </c>
      <c r="B218" t="s">
        <v>1095</v>
      </c>
      <c r="C218" t="s">
        <v>1097</v>
      </c>
      <c r="D218" t="s">
        <v>43</v>
      </c>
      <c r="E218" s="444" t="s">
        <v>1201</v>
      </c>
      <c r="F218" s="447">
        <v>17.600000000000001</v>
      </c>
      <c r="H218" s="441" t="s">
        <v>1210</v>
      </c>
      <c r="I218" s="441" t="s">
        <v>1211</v>
      </c>
      <c r="J218" s="441" t="b">
        <f t="shared" si="7"/>
        <v>0</v>
      </c>
    </row>
    <row r="219" spans="1:10" x14ac:dyDescent="0.25">
      <c r="A219" s="441" t="str">
        <f t="shared" si="6"/>
        <v>Residential_Hot Water_Heat Pump Water Heater_Household</v>
      </c>
      <c r="B219" t="s">
        <v>1095</v>
      </c>
      <c r="C219" t="s">
        <v>1097</v>
      </c>
      <c r="D219" t="s">
        <v>43</v>
      </c>
      <c r="E219" s="444" t="s">
        <v>1202</v>
      </c>
      <c r="F219" s="447">
        <v>2.76</v>
      </c>
      <c r="G219" s="441" t="s">
        <v>1590</v>
      </c>
      <c r="H219" s="441" t="s">
        <v>1210</v>
      </c>
      <c r="I219" s="441" t="s">
        <v>1211</v>
      </c>
      <c r="J219" s="441" t="b">
        <f t="shared" si="7"/>
        <v>0</v>
      </c>
    </row>
    <row r="220" spans="1:10" x14ac:dyDescent="0.25">
      <c r="A220" s="441" t="str">
        <f t="shared" si="6"/>
        <v>Residential_Hot Water_Heat Pump Water Heater_365.25</v>
      </c>
      <c r="B220" t="s">
        <v>1095</v>
      </c>
      <c r="C220" t="s">
        <v>1097</v>
      </c>
      <c r="D220" t="s">
        <v>43</v>
      </c>
      <c r="E220" s="444">
        <v>365.25</v>
      </c>
      <c r="F220" s="447">
        <v>365.25</v>
      </c>
      <c r="G220" s="441" t="s">
        <v>1591</v>
      </c>
      <c r="H220" s="441" t="s">
        <v>1210</v>
      </c>
      <c r="I220" s="441" t="s">
        <v>1211</v>
      </c>
      <c r="J220" s="441" t="b">
        <f t="shared" si="7"/>
        <v>0</v>
      </c>
    </row>
    <row r="221" spans="1:10" x14ac:dyDescent="0.25">
      <c r="A221" s="441" t="str">
        <f t="shared" si="6"/>
        <v>Residential_Hot Water_Heat Pump Water Heater_γWater</v>
      </c>
      <c r="B221" t="s">
        <v>1095</v>
      </c>
      <c r="C221" t="s">
        <v>1097</v>
      </c>
      <c r="D221" t="s">
        <v>43</v>
      </c>
      <c r="E221" s="444" t="s">
        <v>1214</v>
      </c>
      <c r="F221" s="447">
        <v>8.33</v>
      </c>
      <c r="H221" s="441" t="s">
        <v>1210</v>
      </c>
      <c r="I221" s="441" t="s">
        <v>1211</v>
      </c>
      <c r="J221" s="441" t="b">
        <f t="shared" si="7"/>
        <v>0</v>
      </c>
    </row>
    <row r="222" spans="1:10" x14ac:dyDescent="0.25">
      <c r="A222" s="441" t="str">
        <f t="shared" si="6"/>
        <v>Residential_Hot Water_Heat Pump Water Heater_TOUT</v>
      </c>
      <c r="B222" t="s">
        <v>1095</v>
      </c>
      <c r="C222" t="s">
        <v>1097</v>
      </c>
      <c r="D222" t="s">
        <v>43</v>
      </c>
      <c r="E222" s="444" t="s">
        <v>1215</v>
      </c>
      <c r="F222" s="447">
        <v>125</v>
      </c>
      <c r="H222" s="441" t="s">
        <v>1210</v>
      </c>
      <c r="I222" s="441" t="s">
        <v>1211</v>
      </c>
      <c r="J222" s="441" t="b">
        <f t="shared" si="7"/>
        <v>0</v>
      </c>
    </row>
    <row r="223" spans="1:10" x14ac:dyDescent="0.25">
      <c r="A223" s="441" t="str">
        <f t="shared" si="6"/>
        <v>Residential_Hot Water_Heat Pump Water Heater_TIN</v>
      </c>
      <c r="B223" t="s">
        <v>1095</v>
      </c>
      <c r="C223" t="s">
        <v>1097</v>
      </c>
      <c r="D223" t="s">
        <v>43</v>
      </c>
      <c r="E223" s="444" t="s">
        <v>1216</v>
      </c>
      <c r="F223" s="447">
        <v>50.7</v>
      </c>
      <c r="H223" s="441" t="s">
        <v>1210</v>
      </c>
      <c r="I223" s="441" t="s">
        <v>1211</v>
      </c>
      <c r="J223" s="441" t="b">
        <f t="shared" si="7"/>
        <v>0</v>
      </c>
    </row>
    <row r="224" spans="1:10" x14ac:dyDescent="0.25">
      <c r="A224" s="441" t="str">
        <f t="shared" si="6"/>
        <v>Residential_Hot Water_Heat Pump Water Heater_100000</v>
      </c>
      <c r="B224" t="s">
        <v>1095</v>
      </c>
      <c r="C224" t="s">
        <v>1097</v>
      </c>
      <c r="D224" t="s">
        <v>43</v>
      </c>
      <c r="E224" s="444">
        <v>100000</v>
      </c>
      <c r="F224" s="447">
        <v>100000</v>
      </c>
      <c r="H224" s="441" t="s">
        <v>1210</v>
      </c>
      <c r="I224" s="441" t="s">
        <v>1211</v>
      </c>
      <c r="J224" s="441" t="b">
        <f t="shared" si="7"/>
        <v>0</v>
      </c>
    </row>
    <row r="225" spans="1:10" x14ac:dyDescent="0.25">
      <c r="A225" s="441" t="str">
        <f t="shared" si="6"/>
        <v>Residential_Hot Water_Heat Pump Water Heater_Delta_Therms</v>
      </c>
      <c r="B225" t="s">
        <v>1095</v>
      </c>
      <c r="C225" t="s">
        <v>1097</v>
      </c>
      <c r="D225" t="s">
        <v>43</v>
      </c>
      <c r="E225" s="442" t="s">
        <v>1229</v>
      </c>
      <c r="F225" s="446">
        <f xml:space="preserve"> (1/ F216 - 0 ) * ( F218 * F219 * F220 * F221 * ( F222 - F223 ) * 1)/ F224</f>
        <v>169.38297952947713</v>
      </c>
      <c r="H225" s="441" t="s">
        <v>1210</v>
      </c>
      <c r="I225" s="441" t="s">
        <v>1211</v>
      </c>
      <c r="J225" s="441" t="b">
        <f t="shared" si="7"/>
        <v>1</v>
      </c>
    </row>
    <row r="226" spans="1:10" x14ac:dyDescent="0.25">
      <c r="A226" s="441" t="str">
        <f t="shared" si="6"/>
        <v>Residential_Hot Water_Heat Pump Water Heater_Delta_Btu</v>
      </c>
      <c r="B226" t="s">
        <v>1095</v>
      </c>
      <c r="C226" t="s">
        <v>1097</v>
      </c>
      <c r="D226" t="s">
        <v>43</v>
      </c>
      <c r="E226" s="442" t="s">
        <v>1230</v>
      </c>
      <c r="F226" s="446">
        <f>F225*100000</f>
        <v>16938297.952947713</v>
      </c>
      <c r="H226" s="441" t="s">
        <v>1210</v>
      </c>
      <c r="I226" s="441" t="s">
        <v>1211</v>
      </c>
      <c r="J226" s="441" t="b">
        <f t="shared" si="7"/>
        <v>1</v>
      </c>
    </row>
    <row r="227" spans="1:10" x14ac:dyDescent="0.25">
      <c r="A227" s="441" t="str">
        <f t="shared" si="6"/>
        <v>Residential_Hot Water_Heat Pump Water Heater_kWh Saved per Unit</v>
      </c>
      <c r="B227" t="s">
        <v>1095</v>
      </c>
      <c r="C227" t="s">
        <v>1097</v>
      </c>
      <c r="D227" t="s">
        <v>43</v>
      </c>
      <c r="E227" s="450" t="s">
        <v>1156</v>
      </c>
      <c r="F227" s="451" t="e">
        <f>F212</f>
        <v>#DIV/0!</v>
      </c>
      <c r="H227" s="441" t="s">
        <v>1210</v>
      </c>
      <c r="I227" s="441" t="s">
        <v>1211</v>
      </c>
      <c r="J227" s="441" t="b">
        <f t="shared" si="7"/>
        <v>1</v>
      </c>
    </row>
    <row r="228" spans="1:10" x14ac:dyDescent="0.25">
      <c r="A228" s="441" t="str">
        <f t="shared" si="6"/>
        <v>Residential_Hot Water_Heat Pump Water Heater_Coincident Peak kW Saved per Unit</v>
      </c>
      <c r="B228" t="s">
        <v>1095</v>
      </c>
      <c r="C228" t="s">
        <v>1097</v>
      </c>
      <c r="D228" t="s">
        <v>43</v>
      </c>
      <c r="E228" s="450" t="s">
        <v>1157</v>
      </c>
      <c r="F228" s="451" t="e">
        <f>F215</f>
        <v>#DIV/0!</v>
      </c>
      <c r="H228" s="441" t="s">
        <v>1210</v>
      </c>
      <c r="I228" s="441" t="s">
        <v>1211</v>
      </c>
      <c r="J228" s="441" t="b">
        <f t="shared" si="7"/>
        <v>1</v>
      </c>
    </row>
    <row r="229" spans="1:10" x14ac:dyDescent="0.25">
      <c r="A229" s="441" t="str">
        <f t="shared" si="6"/>
        <v>Residential_Hot Water_Heat Pump Water Heater_Propane Gal Saved per Unit</v>
      </c>
      <c r="B229" t="s">
        <v>1095</v>
      </c>
      <c r="C229" t="s">
        <v>1097</v>
      </c>
      <c r="D229" t="s">
        <v>43</v>
      </c>
      <c r="E229" s="450" t="s">
        <v>1158</v>
      </c>
      <c r="F229" s="451">
        <f>F226/91333</f>
        <v>185.45649385159487</v>
      </c>
      <c r="G229" s="441" t="s">
        <v>1159</v>
      </c>
      <c r="H229" s="441" t="s">
        <v>1210</v>
      </c>
      <c r="I229" s="441" t="s">
        <v>1211</v>
      </c>
      <c r="J229" s="441" t="b">
        <f t="shared" si="7"/>
        <v>1</v>
      </c>
    </row>
    <row r="230" spans="1:10" x14ac:dyDescent="0.25">
      <c r="A230" s="441" t="str">
        <f t="shared" si="6"/>
        <v>Residential_Hot Water_Heat Pump Water Heater_Lifetime (years)</v>
      </c>
      <c r="B230" t="s">
        <v>1095</v>
      </c>
      <c r="C230" t="s">
        <v>1097</v>
      </c>
      <c r="D230" t="s">
        <v>43</v>
      </c>
      <c r="E230" s="450" t="s">
        <v>1160</v>
      </c>
      <c r="F230" s="451">
        <v>15</v>
      </c>
      <c r="H230" s="441" t="s">
        <v>1210</v>
      </c>
      <c r="I230" s="441" t="s">
        <v>1211</v>
      </c>
      <c r="J230" s="441" t="b">
        <f t="shared" si="7"/>
        <v>0</v>
      </c>
    </row>
    <row r="231" spans="1:10" x14ac:dyDescent="0.25">
      <c r="A231" s="441" t="str">
        <f t="shared" si="6"/>
        <v>Residential_Hot Water_Heat Pump Water Heater_Incremental Cost</v>
      </c>
      <c r="B231" t="s">
        <v>1095</v>
      </c>
      <c r="C231" t="s">
        <v>1097</v>
      </c>
      <c r="D231" t="s">
        <v>43</v>
      </c>
      <c r="E231" s="450" t="s">
        <v>1161</v>
      </c>
      <c r="F231" s="452">
        <v>2231</v>
      </c>
      <c r="H231" s="441" t="s">
        <v>1210</v>
      </c>
      <c r="I231" s="441" t="s">
        <v>1211</v>
      </c>
      <c r="J231" s="441" t="b">
        <f t="shared" si="7"/>
        <v>0</v>
      </c>
    </row>
    <row r="232" spans="1:10" x14ac:dyDescent="0.25">
      <c r="A232" s="441" t="str">
        <f t="shared" si="6"/>
        <v>Residential_Hot Water_Heat Pump Water Heater_BTU Impact_Existing_Fossil Fuel</v>
      </c>
      <c r="B232" t="s">
        <v>1095</v>
      </c>
      <c r="C232" t="s">
        <v>1097</v>
      </c>
      <c r="D232" t="s">
        <v>43</v>
      </c>
      <c r="E232" s="450" t="s">
        <v>1163</v>
      </c>
      <c r="F232" s="451">
        <f>-F226</f>
        <v>-16938297.952947713</v>
      </c>
      <c r="H232" s="441" t="s">
        <v>1210</v>
      </c>
      <c r="I232" s="441" t="s">
        <v>1211</v>
      </c>
      <c r="J232" s="441" t="b">
        <f t="shared" si="7"/>
        <v>1</v>
      </c>
    </row>
    <row r="233" spans="1:10" x14ac:dyDescent="0.25">
      <c r="A233" s="441" t="str">
        <f t="shared" si="6"/>
        <v>Residential_Hot Water_Heat Pump Water Heater_BTU Impact_Existing_Winter Electricity</v>
      </c>
      <c r="B233" t="s">
        <v>1095</v>
      </c>
      <c r="C233" t="s">
        <v>1097</v>
      </c>
      <c r="D233" t="s">
        <v>43</v>
      </c>
      <c r="E233" s="450" t="s">
        <v>1164</v>
      </c>
      <c r="F233" s="451">
        <v>0</v>
      </c>
      <c r="G233" s="462"/>
      <c r="H233" s="441" t="s">
        <v>1210</v>
      </c>
      <c r="I233" s="441" t="s">
        <v>1211</v>
      </c>
      <c r="J233" s="441" t="b">
        <f t="shared" si="7"/>
        <v>0</v>
      </c>
    </row>
    <row r="234" spans="1:10" x14ac:dyDescent="0.25">
      <c r="A234" s="441" t="str">
        <f t="shared" si="6"/>
        <v>Residential_Hot Water_Heat Pump Water Heater_BTU Impact_Existing_Summer Electricity</v>
      </c>
      <c r="B234" t="s">
        <v>1095</v>
      </c>
      <c r="C234" t="s">
        <v>1097</v>
      </c>
      <c r="D234" t="s">
        <v>43</v>
      </c>
      <c r="E234" s="450" t="s">
        <v>1165</v>
      </c>
      <c r="F234" s="451">
        <v>0</v>
      </c>
      <c r="G234" s="462"/>
      <c r="H234" s="441" t="s">
        <v>1210</v>
      </c>
      <c r="I234" s="441" t="s">
        <v>1211</v>
      </c>
      <c r="J234" s="441" t="b">
        <f t="shared" si="7"/>
        <v>0</v>
      </c>
    </row>
    <row r="235" spans="1:10" x14ac:dyDescent="0.25">
      <c r="A235" s="441" t="str">
        <f t="shared" si="6"/>
        <v>Residential_Hot Water_Heat Pump Water Heater_BTU Impact_New_Fossil Fuel</v>
      </c>
      <c r="B235" t="s">
        <v>1095</v>
      </c>
      <c r="C235" t="s">
        <v>1097</v>
      </c>
      <c r="D235" t="s">
        <v>43</v>
      </c>
      <c r="E235" s="450" t="s">
        <v>1166</v>
      </c>
      <c r="F235" s="451">
        <v>0</v>
      </c>
      <c r="H235" s="441" t="s">
        <v>1210</v>
      </c>
      <c r="I235" s="441" t="s">
        <v>1211</v>
      </c>
      <c r="J235" s="441" t="b">
        <f t="shared" si="7"/>
        <v>0</v>
      </c>
    </row>
    <row r="236" spans="1:10" x14ac:dyDescent="0.25">
      <c r="A236" s="441" t="str">
        <f t="shared" si="6"/>
        <v>Residential_Hot Water_Heat Pump Water Heater_BTU Impact_New_Winter Electricity</v>
      </c>
      <c r="B236" t="s">
        <v>1095</v>
      </c>
      <c r="C236" t="s">
        <v>1097</v>
      </c>
      <c r="D236" t="s">
        <v>43</v>
      </c>
      <c r="E236" s="450" t="s">
        <v>1167</v>
      </c>
      <c r="F236" s="451" t="e">
        <f xml:space="preserve"> -((((0 - 1/ F194 ) * F195 * F196 * F197 * F198 * ( F199 - F200 ) * 1) / F201 )*G236 - F210)*3412</f>
        <v>#DIV/0!</v>
      </c>
      <c r="G236" s="462">
        <v>0.63900000000000001</v>
      </c>
      <c r="H236" s="441" t="s">
        <v>1210</v>
      </c>
      <c r="I236" s="441" t="s">
        <v>1211</v>
      </c>
      <c r="J236" s="441" t="b">
        <f t="shared" si="7"/>
        <v>1</v>
      </c>
    </row>
    <row r="237" spans="1:10" x14ac:dyDescent="0.25">
      <c r="A237" s="441" t="str">
        <f t="shared" si="6"/>
        <v>Residential_Hot Water_Heat Pump Water Heater_BTU Impact_New_Summer Electricity</v>
      </c>
      <c r="B237" t="s">
        <v>1095</v>
      </c>
      <c r="C237" t="s">
        <v>1097</v>
      </c>
      <c r="D237" t="s">
        <v>43</v>
      </c>
      <c r="E237" s="450" t="s">
        <v>1168</v>
      </c>
      <c r="F237" s="451" t="e">
        <f xml:space="preserve"> -((((0 - 1/ F194 ) * F195 * F196 * F197 * F198 * ( F199 - F200 ) * 1) / F201 )*G237 + F206 + F211)*3412</f>
        <v>#DIV/0!</v>
      </c>
      <c r="G237" s="462">
        <v>0.36099999999999999</v>
      </c>
      <c r="H237" s="441" t="s">
        <v>1210</v>
      </c>
      <c r="I237" s="441" t="s">
        <v>1211</v>
      </c>
      <c r="J237" s="441" t="b">
        <f t="shared" si="7"/>
        <v>1</v>
      </c>
    </row>
    <row r="238" spans="1:10" x14ac:dyDescent="0.25">
      <c r="A238" s="441" t="str">
        <f t="shared" si="6"/>
        <v>Residential_Hot Water_Heat Pump Water Heater_</v>
      </c>
      <c r="B238" t="s">
        <v>1095</v>
      </c>
      <c r="C238" t="s">
        <v>1097</v>
      </c>
      <c r="D238" t="s">
        <v>43</v>
      </c>
      <c r="J238" s="441" t="b">
        <f t="shared" si="7"/>
        <v>0</v>
      </c>
    </row>
    <row r="239" spans="1:10" hidden="1" x14ac:dyDescent="0.25">
      <c r="A239" s="441" t="str">
        <f t="shared" si="6"/>
        <v>Residential_Appliances_Heat Pump Clothes Dryer_Load</v>
      </c>
      <c r="B239" t="s">
        <v>1095</v>
      </c>
      <c r="C239" t="s">
        <v>1098</v>
      </c>
      <c r="D239" t="s">
        <v>336</v>
      </c>
      <c r="E239" s="444" t="s">
        <v>1231</v>
      </c>
      <c r="F239" s="445">
        <v>8.4499999999999993</v>
      </c>
      <c r="G239" s="441" t="s">
        <v>1232</v>
      </c>
      <c r="H239" s="441" t="s">
        <v>1233</v>
      </c>
      <c r="I239" s="441" t="s">
        <v>1234</v>
      </c>
      <c r="J239" s="441" t="b">
        <f t="shared" si="7"/>
        <v>0</v>
      </c>
    </row>
    <row r="240" spans="1:10" hidden="1" x14ac:dyDescent="0.25">
      <c r="A240" s="441" t="str">
        <f t="shared" si="6"/>
        <v>Residential_Appliances_Heat Pump Clothes Dryer_CEFbase</v>
      </c>
      <c r="B240" t="s">
        <v>1095</v>
      </c>
      <c r="C240" t="s">
        <v>1098</v>
      </c>
      <c r="D240" t="s">
        <v>336</v>
      </c>
      <c r="E240" s="444" t="s">
        <v>1235</v>
      </c>
      <c r="F240" s="445">
        <v>3.11</v>
      </c>
      <c r="G240" s="441" t="s">
        <v>1236</v>
      </c>
      <c r="H240" s="441" t="s">
        <v>1233</v>
      </c>
      <c r="I240" s="441" t="s">
        <v>1234</v>
      </c>
      <c r="J240" s="441" t="b">
        <f t="shared" si="7"/>
        <v>0</v>
      </c>
    </row>
    <row r="241" spans="1:10" hidden="1" x14ac:dyDescent="0.25">
      <c r="A241" s="441" t="str">
        <f t="shared" si="6"/>
        <v>Residential_Appliances_Heat Pump Clothes Dryer_Load</v>
      </c>
      <c r="B241" t="s">
        <v>1095</v>
      </c>
      <c r="C241" t="s">
        <v>1098</v>
      </c>
      <c r="D241" t="s">
        <v>336</v>
      </c>
      <c r="E241" s="444" t="s">
        <v>1231</v>
      </c>
      <c r="F241" s="445">
        <v>8.4499999999999993</v>
      </c>
      <c r="G241" s="441" t="s">
        <v>1232</v>
      </c>
      <c r="H241" s="441" t="s">
        <v>1233</v>
      </c>
      <c r="I241" s="441" t="s">
        <v>1234</v>
      </c>
      <c r="J241" s="441" t="b">
        <f t="shared" si="7"/>
        <v>0</v>
      </c>
    </row>
    <row r="242" spans="1:10" hidden="1" x14ac:dyDescent="0.25">
      <c r="A242" s="441" t="str">
        <f t="shared" si="6"/>
        <v>Residential_Appliances_Heat Pump Clothes Dryer_CEFeff</v>
      </c>
      <c r="B242" t="s">
        <v>1095</v>
      </c>
      <c r="C242" t="s">
        <v>1098</v>
      </c>
      <c r="D242" t="s">
        <v>336</v>
      </c>
      <c r="E242" s="444" t="s">
        <v>1237</v>
      </c>
      <c r="F242" s="445">
        <v>3.93</v>
      </c>
      <c r="G242" s="441" t="s">
        <v>1238</v>
      </c>
      <c r="H242" s="441" t="s">
        <v>1233</v>
      </c>
      <c r="I242" s="441" t="s">
        <v>1234</v>
      </c>
      <c r="J242" s="441" t="b">
        <f t="shared" si="7"/>
        <v>0</v>
      </c>
    </row>
    <row r="243" spans="1:10" hidden="1" x14ac:dyDescent="0.25">
      <c r="A243" s="441" t="str">
        <f t="shared" si="6"/>
        <v>Residential_Appliances_Heat Pump Clothes Dryer_Ncycles</v>
      </c>
      <c r="B243" t="s">
        <v>1095</v>
      </c>
      <c r="C243" t="s">
        <v>1098</v>
      </c>
      <c r="D243" t="s">
        <v>336</v>
      </c>
      <c r="E243" s="444" t="s">
        <v>1239</v>
      </c>
      <c r="F243" s="445">
        <v>283</v>
      </c>
      <c r="H243" s="441" t="s">
        <v>1233</v>
      </c>
      <c r="I243" s="441" t="s">
        <v>1234</v>
      </c>
      <c r="J243" s="441" t="b">
        <f t="shared" si="7"/>
        <v>0</v>
      </c>
    </row>
    <row r="244" spans="1:10" hidden="1" x14ac:dyDescent="0.25">
      <c r="A244" s="441" t="str">
        <f t="shared" si="6"/>
        <v>Residential_Appliances_Heat Pump Clothes Dryer_%Electric</v>
      </c>
      <c r="B244" t="s">
        <v>1095</v>
      </c>
      <c r="C244" t="s">
        <v>1098</v>
      </c>
      <c r="D244" t="s">
        <v>336</v>
      </c>
      <c r="E244" s="444" t="s">
        <v>1240</v>
      </c>
      <c r="F244" s="445">
        <v>1</v>
      </c>
      <c r="G244" s="441" t="s">
        <v>1241</v>
      </c>
      <c r="H244" s="441" t="s">
        <v>1233</v>
      </c>
      <c r="I244" s="441" t="s">
        <v>1234</v>
      </c>
      <c r="J244" s="441" t="b">
        <f t="shared" si="7"/>
        <v>0</v>
      </c>
    </row>
    <row r="245" spans="1:10" hidden="1" x14ac:dyDescent="0.25">
      <c r="A245" s="441" t="str">
        <f t="shared" si="6"/>
        <v>Residential_Appliances_Heat Pump Clothes Dryer_ΔkWh</v>
      </c>
      <c r="B245" t="s">
        <v>1095</v>
      </c>
      <c r="C245" t="s">
        <v>1098</v>
      </c>
      <c r="D245" t="s">
        <v>336</v>
      </c>
      <c r="E245" s="442" t="s">
        <v>1242</v>
      </c>
      <c r="F245" s="443">
        <f xml:space="preserve"> ( 0 - F241 / F242 ) * F243 * F244</f>
        <v>-608.48600508905849</v>
      </c>
      <c r="H245" s="441" t="s">
        <v>1233</v>
      </c>
      <c r="I245" s="441" t="s">
        <v>1234</v>
      </c>
      <c r="J245" s="441" t="b">
        <f t="shared" si="7"/>
        <v>1</v>
      </c>
    </row>
    <row r="246" spans="1:10" hidden="1" x14ac:dyDescent="0.25">
      <c r="A246" s="441" t="str">
        <f t="shared" si="6"/>
        <v>Residential_Appliances_Heat Pump Clothes Dryer_Hours</v>
      </c>
      <c r="B246" t="s">
        <v>1095</v>
      </c>
      <c r="C246" t="s">
        <v>1098</v>
      </c>
      <c r="D246" t="s">
        <v>336</v>
      </c>
      <c r="E246" s="444" t="s">
        <v>1227</v>
      </c>
      <c r="F246" s="445">
        <v>283</v>
      </c>
      <c r="H246" s="441" t="s">
        <v>1233</v>
      </c>
      <c r="I246" s="441" t="s">
        <v>1234</v>
      </c>
      <c r="J246" s="441" t="b">
        <f t="shared" si="7"/>
        <v>0</v>
      </c>
    </row>
    <row r="247" spans="1:10" hidden="1" x14ac:dyDescent="0.25">
      <c r="A247" s="441" t="str">
        <f t="shared" si="6"/>
        <v>Residential_Appliances_Heat Pump Clothes Dryer_CF</v>
      </c>
      <c r="B247" t="s">
        <v>1095</v>
      </c>
      <c r="C247" t="s">
        <v>1098</v>
      </c>
      <c r="D247" t="s">
        <v>336</v>
      </c>
      <c r="E247" s="444" t="s">
        <v>1153</v>
      </c>
      <c r="F247" s="445">
        <v>3.7999999999999999E-2</v>
      </c>
      <c r="H247" s="441" t="s">
        <v>1233</v>
      </c>
      <c r="I247" s="441" t="s">
        <v>1234</v>
      </c>
      <c r="J247" s="441" t="b">
        <f t="shared" si="7"/>
        <v>0</v>
      </c>
    </row>
    <row r="248" spans="1:10" hidden="1" x14ac:dyDescent="0.25">
      <c r="A248" s="441" t="str">
        <f t="shared" si="6"/>
        <v>Residential_Appliances_Heat Pump Clothes Dryer_ΔkW</v>
      </c>
      <c r="B248" t="s">
        <v>1095</v>
      </c>
      <c r="C248" t="s">
        <v>1098</v>
      </c>
      <c r="D248" t="s">
        <v>336</v>
      </c>
      <c r="E248" s="442" t="s">
        <v>1243</v>
      </c>
      <c r="F248" s="443">
        <f xml:space="preserve"> F245 / F246 * F247</f>
        <v>-8.1704834605597951E-2</v>
      </c>
      <c r="H248" s="441" t="s">
        <v>1233</v>
      </c>
      <c r="I248" s="441" t="s">
        <v>1234</v>
      </c>
      <c r="J248" s="441" t="b">
        <f t="shared" si="7"/>
        <v>1</v>
      </c>
    </row>
    <row r="249" spans="1:10" hidden="1" x14ac:dyDescent="0.25">
      <c r="A249" s="441" t="str">
        <f t="shared" si="6"/>
        <v>Residential_Appliances_Heat Pump Clothes Dryer_Load</v>
      </c>
      <c r="B249" t="s">
        <v>1095</v>
      </c>
      <c r="C249" t="s">
        <v>1098</v>
      </c>
      <c r="D249" t="s">
        <v>336</v>
      </c>
      <c r="E249" s="444" t="s">
        <v>1231</v>
      </c>
      <c r="F249" s="445">
        <v>8.4499999999999993</v>
      </c>
      <c r="G249" s="441" t="s">
        <v>1232</v>
      </c>
      <c r="H249" s="441" t="s">
        <v>1233</v>
      </c>
      <c r="I249" s="441" t="s">
        <v>1234</v>
      </c>
      <c r="J249" s="441" t="b">
        <f t="shared" si="7"/>
        <v>0</v>
      </c>
    </row>
    <row r="250" spans="1:10" hidden="1" x14ac:dyDescent="0.25">
      <c r="A250" s="441" t="str">
        <f t="shared" si="6"/>
        <v>Residential_Appliances_Heat Pump Clothes Dryer_EFbase</v>
      </c>
      <c r="B250" t="s">
        <v>1095</v>
      </c>
      <c r="C250" t="s">
        <v>1098</v>
      </c>
      <c r="D250" t="s">
        <v>336</v>
      </c>
      <c r="E250" s="444" t="s">
        <v>1244</v>
      </c>
      <c r="F250" s="445">
        <v>2.84</v>
      </c>
      <c r="G250" s="441" t="s">
        <v>1245</v>
      </c>
      <c r="H250" s="441" t="s">
        <v>1233</v>
      </c>
      <c r="I250" s="441" t="s">
        <v>1234</v>
      </c>
      <c r="J250" s="441" t="b">
        <f t="shared" si="7"/>
        <v>0</v>
      </c>
    </row>
    <row r="251" spans="1:10" hidden="1" x14ac:dyDescent="0.25">
      <c r="A251" s="441" t="str">
        <f t="shared" si="6"/>
        <v>Residential_Appliances_Heat Pump Clothes Dryer_IQAdj</v>
      </c>
      <c r="B251" t="s">
        <v>1095</v>
      </c>
      <c r="C251" t="s">
        <v>1098</v>
      </c>
      <c r="D251" t="s">
        <v>336</v>
      </c>
      <c r="E251" s="444" t="s">
        <v>1246</v>
      </c>
      <c r="F251" s="460">
        <f>IF([18]Dashboard_FS!$K$20="Yes",1.033,1)</f>
        <v>1.0329999999999999</v>
      </c>
      <c r="H251" s="441" t="s">
        <v>1233</v>
      </c>
      <c r="I251" s="441" t="s">
        <v>1234</v>
      </c>
      <c r="J251" s="441" t="b">
        <f t="shared" si="7"/>
        <v>1</v>
      </c>
    </row>
    <row r="252" spans="1:10" hidden="1" x14ac:dyDescent="0.25">
      <c r="A252" s="441" t="str">
        <f t="shared" si="6"/>
        <v>Residential_Appliances_Heat Pump Clothes Dryer_Load</v>
      </c>
      <c r="B252" t="s">
        <v>1095</v>
      </c>
      <c r="C252" t="s">
        <v>1098</v>
      </c>
      <c r="D252" t="s">
        <v>336</v>
      </c>
      <c r="E252" s="444" t="s">
        <v>1231</v>
      </c>
      <c r="F252" s="445">
        <v>8.4499999999999993</v>
      </c>
      <c r="G252" s="441" t="s">
        <v>1232</v>
      </c>
      <c r="H252" s="441" t="s">
        <v>1233</v>
      </c>
      <c r="I252" s="441" t="s">
        <v>1234</v>
      </c>
      <c r="J252" s="441" t="b">
        <f t="shared" si="7"/>
        <v>0</v>
      </c>
    </row>
    <row r="253" spans="1:10" hidden="1" x14ac:dyDescent="0.25">
      <c r="A253" s="441" t="str">
        <f t="shared" si="6"/>
        <v>Residential_Appliances_Heat Pump Clothes Dryer_CEFeff</v>
      </c>
      <c r="B253" t="s">
        <v>1095</v>
      </c>
      <c r="C253" t="s">
        <v>1098</v>
      </c>
      <c r="D253" t="s">
        <v>336</v>
      </c>
      <c r="E253" s="444" t="s">
        <v>1237</v>
      </c>
      <c r="F253" s="445">
        <v>3.48</v>
      </c>
      <c r="G253" s="441" t="s">
        <v>1245</v>
      </c>
      <c r="H253" s="441" t="s">
        <v>1233</v>
      </c>
      <c r="I253" s="441" t="s">
        <v>1234</v>
      </c>
      <c r="J253" s="441" t="b">
        <f t="shared" si="7"/>
        <v>0</v>
      </c>
    </row>
    <row r="254" spans="1:10" hidden="1" x14ac:dyDescent="0.25">
      <c r="A254" s="441" t="str">
        <f t="shared" si="6"/>
        <v>Residential_Appliances_Heat Pump Clothes Dryer_Ncycles</v>
      </c>
      <c r="B254" t="s">
        <v>1095</v>
      </c>
      <c r="C254" t="s">
        <v>1098</v>
      </c>
      <c r="D254" t="s">
        <v>336</v>
      </c>
      <c r="E254" s="444" t="s">
        <v>1239</v>
      </c>
      <c r="F254" s="445">
        <v>283</v>
      </c>
      <c r="H254" s="441" t="s">
        <v>1233</v>
      </c>
      <c r="I254" s="441" t="s">
        <v>1234</v>
      </c>
      <c r="J254" s="441" t="b">
        <f t="shared" si="7"/>
        <v>0</v>
      </c>
    </row>
    <row r="255" spans="1:10" hidden="1" x14ac:dyDescent="0.25">
      <c r="A255" s="441" t="str">
        <f t="shared" si="6"/>
        <v>Residential_Appliances_Heat Pump Clothes Dryer_Therm_convert</v>
      </c>
      <c r="B255" t="s">
        <v>1095</v>
      </c>
      <c r="C255" t="s">
        <v>1098</v>
      </c>
      <c r="D255" t="s">
        <v>336</v>
      </c>
      <c r="E255" s="444" t="s">
        <v>1247</v>
      </c>
      <c r="F255" s="445">
        <v>3.4119999999999998E-2</v>
      </c>
      <c r="H255" s="441" t="s">
        <v>1233</v>
      </c>
      <c r="I255" s="441" t="s">
        <v>1234</v>
      </c>
      <c r="J255" s="441" t="b">
        <f t="shared" si="7"/>
        <v>0</v>
      </c>
    </row>
    <row r="256" spans="1:10" hidden="1" x14ac:dyDescent="0.25">
      <c r="A256" s="441" t="str">
        <f t="shared" si="6"/>
        <v>Residential_Appliances_Heat Pump Clothes Dryer_%Gas</v>
      </c>
      <c r="B256" t="s">
        <v>1095</v>
      </c>
      <c r="C256" t="s">
        <v>1098</v>
      </c>
      <c r="D256" t="s">
        <v>336</v>
      </c>
      <c r="E256" s="444" t="s">
        <v>1248</v>
      </c>
      <c r="F256" s="445">
        <v>1</v>
      </c>
      <c r="G256" s="441" t="s">
        <v>1249</v>
      </c>
      <c r="H256" s="441" t="s">
        <v>1233</v>
      </c>
      <c r="I256" s="441" t="s">
        <v>1234</v>
      </c>
      <c r="J256" s="441" t="b">
        <f t="shared" si="7"/>
        <v>0</v>
      </c>
    </row>
    <row r="257" spans="1:10" hidden="1" x14ac:dyDescent="0.25">
      <c r="A257" s="441" t="str">
        <f t="shared" si="6"/>
        <v>Residential_Appliances_Heat Pump Clothes Dryer_Δtherm</v>
      </c>
      <c r="B257" t="s">
        <v>1095</v>
      </c>
      <c r="C257" t="s">
        <v>1098</v>
      </c>
      <c r="D257" t="s">
        <v>336</v>
      </c>
      <c r="E257" s="442" t="s">
        <v>1250</v>
      </c>
      <c r="F257" s="443">
        <f xml:space="preserve"> ( F249 / F250 * F251 - 0) * F254 * F255 * F256</f>
        <v>29.677967058450697</v>
      </c>
      <c r="H257" s="441" t="s">
        <v>1233</v>
      </c>
      <c r="I257" s="441" t="s">
        <v>1234</v>
      </c>
      <c r="J257" s="441" t="b">
        <f t="shared" si="7"/>
        <v>1</v>
      </c>
    </row>
    <row r="258" spans="1:10" hidden="1" x14ac:dyDescent="0.25">
      <c r="A258" s="441" t="str">
        <f t="shared" si="6"/>
        <v>Residential_Appliances_Heat Pump Clothes Dryer_kWh Saved per Unit</v>
      </c>
      <c r="B258" t="s">
        <v>1095</v>
      </c>
      <c r="C258" t="s">
        <v>1098</v>
      </c>
      <c r="D258" t="s">
        <v>336</v>
      </c>
      <c r="E258" s="450" t="s">
        <v>1156</v>
      </c>
      <c r="F258" s="451">
        <f>F245</f>
        <v>-608.48600508905849</v>
      </c>
      <c r="H258" s="441" t="s">
        <v>1233</v>
      </c>
      <c r="I258" s="441" t="s">
        <v>1234</v>
      </c>
      <c r="J258" s="441" t="b">
        <f t="shared" si="7"/>
        <v>1</v>
      </c>
    </row>
    <row r="259" spans="1:10" hidden="1" x14ac:dyDescent="0.25">
      <c r="A259" s="441" t="str">
        <f t="shared" si="6"/>
        <v>Residential_Appliances_Heat Pump Clothes Dryer_Coincident Peak kW Saved per Unit</v>
      </c>
      <c r="B259" t="s">
        <v>1095</v>
      </c>
      <c r="C259" t="s">
        <v>1098</v>
      </c>
      <c r="D259" t="s">
        <v>336</v>
      </c>
      <c r="E259" s="450" t="s">
        <v>1157</v>
      </c>
      <c r="F259" s="451">
        <f>F248</f>
        <v>-8.1704834605597951E-2</v>
      </c>
      <c r="H259" s="441" t="s">
        <v>1233</v>
      </c>
      <c r="I259" s="441" t="s">
        <v>1234</v>
      </c>
      <c r="J259" s="441" t="b">
        <f t="shared" si="7"/>
        <v>1</v>
      </c>
    </row>
    <row r="260" spans="1:10" hidden="1" x14ac:dyDescent="0.25">
      <c r="A260" s="441" t="str">
        <f t="shared" si="6"/>
        <v>Residential_Appliances_Heat Pump Clothes Dryer_Therms Saved per Unit</v>
      </c>
      <c r="B260" t="s">
        <v>1095</v>
      </c>
      <c r="C260" t="s">
        <v>1098</v>
      </c>
      <c r="D260" t="s">
        <v>336</v>
      </c>
      <c r="E260" s="450" t="s">
        <v>1251</v>
      </c>
      <c r="F260" s="451">
        <f>F257</f>
        <v>29.677967058450697</v>
      </c>
      <c r="H260" s="441" t="s">
        <v>1233</v>
      </c>
      <c r="I260" s="441" t="s">
        <v>1234</v>
      </c>
      <c r="J260" s="441" t="b">
        <f t="shared" si="7"/>
        <v>1</v>
      </c>
    </row>
    <row r="261" spans="1:10" hidden="1" x14ac:dyDescent="0.25">
      <c r="A261" s="441" t="str">
        <f t="shared" si="6"/>
        <v>Residential_Appliances_Heat Pump Clothes Dryer_Lifetime (years)</v>
      </c>
      <c r="B261" t="s">
        <v>1095</v>
      </c>
      <c r="C261" t="s">
        <v>1098</v>
      </c>
      <c r="D261" t="s">
        <v>336</v>
      </c>
      <c r="E261" s="450" t="s">
        <v>1160</v>
      </c>
      <c r="F261" s="451">
        <v>16</v>
      </c>
      <c r="H261" s="441" t="s">
        <v>1233</v>
      </c>
      <c r="I261" s="441" t="s">
        <v>1234</v>
      </c>
      <c r="J261" s="441" t="b">
        <f t="shared" si="7"/>
        <v>0</v>
      </c>
    </row>
    <row r="262" spans="1:10" hidden="1" x14ac:dyDescent="0.25">
      <c r="A262" s="441" t="str">
        <f t="shared" si="6"/>
        <v>Residential_Appliances_Heat Pump Clothes Dryer_Incremental Cost</v>
      </c>
      <c r="B262" t="s">
        <v>1095</v>
      </c>
      <c r="C262" t="s">
        <v>1098</v>
      </c>
      <c r="D262" t="s">
        <v>336</v>
      </c>
      <c r="E262" s="450" t="s">
        <v>1161</v>
      </c>
      <c r="F262" s="463">
        <f>IF([18]Dashboard_FS!$K$20="Yes",246,152)</f>
        <v>246</v>
      </c>
      <c r="G262" s="441" t="s">
        <v>1252</v>
      </c>
      <c r="H262" s="441" t="s">
        <v>1233</v>
      </c>
      <c r="I262" s="441" t="s">
        <v>1234</v>
      </c>
      <c r="J262" s="441" t="b">
        <f t="shared" si="7"/>
        <v>1</v>
      </c>
    </row>
    <row r="263" spans="1:10" hidden="1" x14ac:dyDescent="0.25">
      <c r="A263" s="441" t="str">
        <f t="shared" si="6"/>
        <v>Residential_Appliances_Heat Pump Clothes Dryer_BTU Impact_Existing_Fossil Fuel</v>
      </c>
      <c r="B263" t="s">
        <v>1095</v>
      </c>
      <c r="C263" t="s">
        <v>1098</v>
      </c>
      <c r="D263" t="s">
        <v>336</v>
      </c>
      <c r="E263" s="450" t="s">
        <v>1163</v>
      </c>
      <c r="F263" s="451">
        <f>-F257*100000</f>
        <v>-2967796.7058450696</v>
      </c>
      <c r="H263" s="441" t="s">
        <v>1233</v>
      </c>
      <c r="I263" s="441" t="s">
        <v>1234</v>
      </c>
      <c r="J263" s="441" t="b">
        <f t="shared" si="7"/>
        <v>1</v>
      </c>
    </row>
    <row r="264" spans="1:10" hidden="1" x14ac:dyDescent="0.25">
      <c r="A264" s="441" t="str">
        <f t="shared" si="6"/>
        <v>Residential_Appliances_Heat Pump Clothes Dryer_BTU Impact_Existing_Winter Electricity</v>
      </c>
      <c r="B264" t="s">
        <v>1095</v>
      </c>
      <c r="C264" t="s">
        <v>1098</v>
      </c>
      <c r="D264" t="s">
        <v>336</v>
      </c>
      <c r="E264" s="450" t="s">
        <v>1164</v>
      </c>
      <c r="F264" s="451">
        <f xml:space="preserve"> (( 0 - F249 / F250 ) * F254 * F251 * 3412)*(8/12)</f>
        <v>-1978531.1372300466</v>
      </c>
      <c r="G264" s="441" t="s">
        <v>1253</v>
      </c>
      <c r="H264" s="441" t="s">
        <v>1233</v>
      </c>
      <c r="I264" s="441" t="s">
        <v>1234</v>
      </c>
      <c r="J264" s="441" t="b">
        <f t="shared" si="7"/>
        <v>1</v>
      </c>
    </row>
    <row r="265" spans="1:10" hidden="1" x14ac:dyDescent="0.25">
      <c r="A265" s="441" t="str">
        <f t="shared" si="6"/>
        <v>Residential_Appliances_Heat Pump Clothes Dryer_BTU Impact_Existing_Summer Electricity</v>
      </c>
      <c r="B265" t="s">
        <v>1095</v>
      </c>
      <c r="C265" t="s">
        <v>1098</v>
      </c>
      <c r="D265" t="s">
        <v>336</v>
      </c>
      <c r="E265" s="450" t="s">
        <v>1165</v>
      </c>
      <c r="F265" s="451">
        <f xml:space="preserve"> (( 0 - F249 / F250 ) * F254 * F251 * 3412)*(4/12)</f>
        <v>-989265.56861502328</v>
      </c>
      <c r="G265" s="441" t="s">
        <v>1253</v>
      </c>
      <c r="H265" s="441" t="s">
        <v>1233</v>
      </c>
      <c r="I265" s="441" t="s">
        <v>1234</v>
      </c>
      <c r="J265" s="441" t="b">
        <f t="shared" si="7"/>
        <v>1</v>
      </c>
    </row>
    <row r="266" spans="1:10" hidden="1" x14ac:dyDescent="0.25">
      <c r="A266" s="441" t="str">
        <f t="shared" si="6"/>
        <v>Residential_Appliances_Heat Pump Clothes Dryer_BTU Impact_New_Fossil Fuel</v>
      </c>
      <c r="B266" t="s">
        <v>1095</v>
      </c>
      <c r="C266" t="s">
        <v>1098</v>
      </c>
      <c r="D266" t="s">
        <v>336</v>
      </c>
      <c r="E266" s="450" t="s">
        <v>1166</v>
      </c>
      <c r="F266" s="451">
        <v>0</v>
      </c>
      <c r="H266" s="441" t="s">
        <v>1233</v>
      </c>
      <c r="I266" s="441" t="s">
        <v>1234</v>
      </c>
      <c r="J266" s="441" t="b">
        <f t="shared" si="7"/>
        <v>0</v>
      </c>
    </row>
    <row r="267" spans="1:10" hidden="1" x14ac:dyDescent="0.25">
      <c r="A267" s="441" t="str">
        <f t="shared" si="6"/>
        <v>Residential_Appliances_Heat Pump Clothes Dryer_BTU Impact_New_Winter Electricity</v>
      </c>
      <c r="B267" t="s">
        <v>1095</v>
      </c>
      <c r="C267" t="s">
        <v>1098</v>
      </c>
      <c r="D267" t="s">
        <v>336</v>
      </c>
      <c r="E267" s="450" t="s">
        <v>1167</v>
      </c>
      <c r="F267" s="451">
        <f>-F258*3412*(8/12)</f>
        <v>1384102.832909245</v>
      </c>
      <c r="H267" s="441" t="s">
        <v>1233</v>
      </c>
      <c r="I267" s="441" t="s">
        <v>1234</v>
      </c>
      <c r="J267" s="441" t="b">
        <f t="shared" si="7"/>
        <v>1</v>
      </c>
    </row>
    <row r="268" spans="1:10" hidden="1" x14ac:dyDescent="0.25">
      <c r="A268" s="441" t="str">
        <f t="shared" si="6"/>
        <v>Residential_Appliances_Heat Pump Clothes Dryer_BTU Impact_New_Summer Electricity</v>
      </c>
      <c r="B268" t="s">
        <v>1095</v>
      </c>
      <c r="C268" t="s">
        <v>1098</v>
      </c>
      <c r="D268" t="s">
        <v>336</v>
      </c>
      <c r="E268" s="450" t="s">
        <v>1168</v>
      </c>
      <c r="F268" s="451">
        <f>-F258*3412*(4/12)</f>
        <v>692051.41645462252</v>
      </c>
      <c r="H268" s="441" t="s">
        <v>1233</v>
      </c>
      <c r="I268" s="441" t="s">
        <v>1234</v>
      </c>
      <c r="J268" s="441" t="b">
        <f t="shared" si="7"/>
        <v>1</v>
      </c>
    </row>
    <row r="269" spans="1:10" hidden="1" x14ac:dyDescent="0.25">
      <c r="A269" s="441" t="str">
        <f t="shared" si="6"/>
        <v>Residential_Appliances_Heat Pump Clothes Dryer_</v>
      </c>
      <c r="B269" t="s">
        <v>1095</v>
      </c>
      <c r="C269" t="s">
        <v>1098</v>
      </c>
      <c r="D269" t="s">
        <v>336</v>
      </c>
      <c r="H269" s="441" t="s">
        <v>1233</v>
      </c>
      <c r="I269" s="441" t="s">
        <v>1234</v>
      </c>
      <c r="J269" s="441" t="b">
        <f t="shared" si="7"/>
        <v>0</v>
      </c>
    </row>
    <row r="270" spans="1:10" hidden="1" x14ac:dyDescent="0.25">
      <c r="A270" s="441" t="str">
        <f t="shared" si="6"/>
        <v>Residential_Appliances_Electric Range_Cooktop AEC_basegas</v>
      </c>
      <c r="B270" t="s">
        <v>1095</v>
      </c>
      <c r="C270" t="s">
        <v>1098</v>
      </c>
      <c r="D270" t="s">
        <v>1254</v>
      </c>
      <c r="E270" s="444" t="s">
        <v>1255</v>
      </c>
      <c r="F270" s="445">
        <v>12.7</v>
      </c>
      <c r="G270" s="441" t="s">
        <v>1136</v>
      </c>
      <c r="H270" s="441" t="s">
        <v>1256</v>
      </c>
      <c r="I270" s="441" t="s">
        <v>1257</v>
      </c>
      <c r="J270" s="441" t="b">
        <f t="shared" si="7"/>
        <v>0</v>
      </c>
    </row>
    <row r="271" spans="1:10" hidden="1" x14ac:dyDescent="0.25">
      <c r="A271" s="441" t="str">
        <f t="shared" si="6"/>
        <v>Residential_Appliances_Electric Range_Oven AEC_basegas</v>
      </c>
      <c r="B271" t="s">
        <v>1095</v>
      </c>
      <c r="C271" t="s">
        <v>1098</v>
      </c>
      <c r="D271" t="s">
        <v>1254</v>
      </c>
      <c r="E271" s="444" t="s">
        <v>1258</v>
      </c>
      <c r="F271" s="445">
        <v>8.6</v>
      </c>
      <c r="G271" s="441" t="s">
        <v>1136</v>
      </c>
      <c r="H271" s="441" t="s">
        <v>1256</v>
      </c>
      <c r="I271" s="441" t="s">
        <v>1257</v>
      </c>
      <c r="J271" s="441" t="b">
        <f t="shared" si="7"/>
        <v>0</v>
      </c>
    </row>
    <row r="272" spans="1:10" hidden="1" x14ac:dyDescent="0.25">
      <c r="A272" s="441" t="str">
        <f t="shared" si="6"/>
        <v>Residential_Appliances_Electric Range_AEC_basegas</v>
      </c>
      <c r="B272" t="s">
        <v>1095</v>
      </c>
      <c r="C272" t="s">
        <v>1098</v>
      </c>
      <c r="D272" t="s">
        <v>1254</v>
      </c>
      <c r="E272" s="444" t="s">
        <v>1259</v>
      </c>
      <c r="F272" s="445">
        <f>F270+F271</f>
        <v>21.299999999999997</v>
      </c>
      <c r="H272" s="441" t="s">
        <v>1256</v>
      </c>
      <c r="I272" s="441" t="s">
        <v>1257</v>
      </c>
      <c r="J272" s="441" t="b">
        <f t="shared" si="7"/>
        <v>1</v>
      </c>
    </row>
    <row r="273" spans="1:10" hidden="1" x14ac:dyDescent="0.25">
      <c r="A273" s="441" t="str">
        <f t="shared" si="6"/>
        <v>Residential_Appliances_Electric Range_10</v>
      </c>
      <c r="B273" t="s">
        <v>1095</v>
      </c>
      <c r="C273" t="s">
        <v>1098</v>
      </c>
      <c r="D273" t="s">
        <v>1254</v>
      </c>
      <c r="E273" s="444">
        <v>10</v>
      </c>
      <c r="F273" s="458">
        <v>10</v>
      </c>
      <c r="H273" s="441" t="s">
        <v>1256</v>
      </c>
      <c r="I273" s="441" t="s">
        <v>1257</v>
      </c>
      <c r="J273" s="441" t="b">
        <f t="shared" si="7"/>
        <v>0</v>
      </c>
    </row>
    <row r="274" spans="1:10" hidden="1" x14ac:dyDescent="0.25">
      <c r="A274" s="441" t="str">
        <f t="shared" si="6"/>
        <v>Residential_Appliances_Electric Range_Gas Consumption Replaced</v>
      </c>
      <c r="B274" t="s">
        <v>1095</v>
      </c>
      <c r="C274" t="s">
        <v>1098</v>
      </c>
      <c r="D274" t="s">
        <v>1254</v>
      </c>
      <c r="E274" s="442" t="s">
        <v>1260</v>
      </c>
      <c r="F274" s="443">
        <f>F272/F273</f>
        <v>2.13</v>
      </c>
      <c r="H274" s="441" t="s">
        <v>1256</v>
      </c>
      <c r="I274" s="441" t="s">
        <v>1257</v>
      </c>
      <c r="J274" s="441" t="b">
        <f t="shared" si="7"/>
        <v>1</v>
      </c>
    </row>
    <row r="275" spans="1:10" hidden="1" x14ac:dyDescent="0.25">
      <c r="A275" s="441" t="str">
        <f t="shared" si="6"/>
        <v>Residential_Appliances_Electric Range_Cooktop IAEC_ee</v>
      </c>
      <c r="B275" t="s">
        <v>1095</v>
      </c>
      <c r="C275" t="s">
        <v>1098</v>
      </c>
      <c r="D275" t="s">
        <v>1254</v>
      </c>
      <c r="E275" s="444" t="s">
        <v>1261</v>
      </c>
      <c r="F275" s="445">
        <v>111</v>
      </c>
      <c r="G275" s="441" t="s">
        <v>1136</v>
      </c>
      <c r="H275" s="441" t="s">
        <v>1256</v>
      </c>
      <c r="I275" s="441" t="s">
        <v>1257</v>
      </c>
      <c r="J275" s="441" t="b">
        <f t="shared" si="7"/>
        <v>0</v>
      </c>
    </row>
    <row r="276" spans="1:10" hidden="1" x14ac:dyDescent="0.25">
      <c r="A276" s="441" t="str">
        <f t="shared" si="6"/>
        <v>Residential_Appliances_Electric Range_Oven IAEC_ee</v>
      </c>
      <c r="B276" t="s">
        <v>1095</v>
      </c>
      <c r="C276" t="s">
        <v>1098</v>
      </c>
      <c r="D276" t="s">
        <v>1254</v>
      </c>
      <c r="E276" s="444" t="s">
        <v>1262</v>
      </c>
      <c r="F276" s="445">
        <v>171.6</v>
      </c>
      <c r="G276" s="441" t="s">
        <v>1263</v>
      </c>
      <c r="H276" s="441" t="s">
        <v>1256</v>
      </c>
      <c r="I276" s="441" t="s">
        <v>1257</v>
      </c>
      <c r="J276" s="441" t="b">
        <f t="shared" si="7"/>
        <v>0</v>
      </c>
    </row>
    <row r="277" spans="1:10" hidden="1" x14ac:dyDescent="0.25">
      <c r="A277" s="441" t="str">
        <f t="shared" si="6"/>
        <v>Residential_Appliances_Electric Range_IAEC_ee</v>
      </c>
      <c r="B277" t="s">
        <v>1095</v>
      </c>
      <c r="C277" t="s">
        <v>1098</v>
      </c>
      <c r="D277" t="s">
        <v>1254</v>
      </c>
      <c r="E277" s="444" t="s">
        <v>1264</v>
      </c>
      <c r="F277" s="445">
        <f>F275+F276</f>
        <v>282.60000000000002</v>
      </c>
      <c r="H277" s="441" t="s">
        <v>1256</v>
      </c>
      <c r="I277" s="441" t="s">
        <v>1257</v>
      </c>
      <c r="J277" s="441" t="b">
        <f t="shared" si="7"/>
        <v>1</v>
      </c>
    </row>
    <row r="278" spans="1:10" hidden="1" x14ac:dyDescent="0.25">
      <c r="A278" s="441" t="str">
        <f t="shared" si="6"/>
        <v>Residential_Appliances_Electric Range_3412</v>
      </c>
      <c r="B278" t="s">
        <v>1095</v>
      </c>
      <c r="C278" t="s">
        <v>1098</v>
      </c>
      <c r="D278" t="s">
        <v>1254</v>
      </c>
      <c r="E278" s="444">
        <v>3412</v>
      </c>
      <c r="F278" s="458">
        <v>3412</v>
      </c>
      <c r="H278" s="441" t="s">
        <v>1256</v>
      </c>
      <c r="I278" s="441" t="s">
        <v>1257</v>
      </c>
      <c r="J278" s="441" t="b">
        <f t="shared" si="7"/>
        <v>0</v>
      </c>
    </row>
    <row r="279" spans="1:10" hidden="1" x14ac:dyDescent="0.25">
      <c r="A279" s="441" t="str">
        <f t="shared" si="6"/>
        <v>Residential_Appliances_Electric Range_1000000</v>
      </c>
      <c r="B279" t="s">
        <v>1095</v>
      </c>
      <c r="C279" t="s">
        <v>1098</v>
      </c>
      <c r="D279" t="s">
        <v>1254</v>
      </c>
      <c r="E279" s="444">
        <v>1000000</v>
      </c>
      <c r="F279" s="458">
        <v>1000000</v>
      </c>
      <c r="H279" s="441" t="s">
        <v>1256</v>
      </c>
      <c r="I279" s="441" t="s">
        <v>1257</v>
      </c>
      <c r="J279" s="441" t="b">
        <f t="shared" si="7"/>
        <v>0</v>
      </c>
    </row>
    <row r="280" spans="1:10" hidden="1" x14ac:dyDescent="0.25">
      <c r="A280" s="441" t="str">
        <f t="shared" si="6"/>
        <v>Residential_Appliances_Electric Range_Electric Consumption Added</v>
      </c>
      <c r="B280" t="s">
        <v>1095</v>
      </c>
      <c r="C280" t="s">
        <v>1098</v>
      </c>
      <c r="D280" t="s">
        <v>1254</v>
      </c>
      <c r="E280" s="442" t="s">
        <v>1265</v>
      </c>
      <c r="F280" s="443">
        <f>F277 * F278 / F279</f>
        <v>0.96423120000000007</v>
      </c>
      <c r="H280" s="441" t="s">
        <v>1256</v>
      </c>
      <c r="I280" s="441" t="s">
        <v>1257</v>
      </c>
      <c r="J280" s="441" t="b">
        <f t="shared" si="7"/>
        <v>1</v>
      </c>
    </row>
    <row r="281" spans="1:10" hidden="1" x14ac:dyDescent="0.25">
      <c r="A281" s="441" t="str">
        <f t="shared" si="6"/>
        <v>Residential_Appliances_Electric Range_Eff_ee</v>
      </c>
      <c r="B281" t="s">
        <v>1095</v>
      </c>
      <c r="C281" t="s">
        <v>1098</v>
      </c>
      <c r="D281" t="s">
        <v>1254</v>
      </c>
      <c r="E281" s="444" t="s">
        <v>1266</v>
      </c>
      <c r="F281" s="445">
        <v>0.85</v>
      </c>
      <c r="G281" s="441" t="s">
        <v>1136</v>
      </c>
      <c r="H281" s="441" t="s">
        <v>1256</v>
      </c>
      <c r="I281" s="441" t="s">
        <v>1257</v>
      </c>
      <c r="J281" s="441" t="b">
        <f t="shared" si="7"/>
        <v>0</v>
      </c>
    </row>
    <row r="282" spans="1:10" hidden="1" x14ac:dyDescent="0.25">
      <c r="A282" s="441" t="str">
        <f t="shared" si="6"/>
        <v>Residential_Appliances_Electric Range_Eff_base</v>
      </c>
      <c r="B282" t="s">
        <v>1095</v>
      </c>
      <c r="C282" t="s">
        <v>1098</v>
      </c>
      <c r="D282" t="s">
        <v>1254</v>
      </c>
      <c r="E282" s="444" t="s">
        <v>1267</v>
      </c>
      <c r="F282" s="445">
        <v>0.77</v>
      </c>
      <c r="G282" s="441" t="s">
        <v>1136</v>
      </c>
      <c r="H282" s="441" t="s">
        <v>1256</v>
      </c>
      <c r="I282" s="441" t="s">
        <v>1257</v>
      </c>
      <c r="J282" s="441" t="b">
        <f t="shared" si="7"/>
        <v>0</v>
      </c>
    </row>
    <row r="283" spans="1:10" hidden="1" x14ac:dyDescent="0.25">
      <c r="A283" s="441" t="str">
        <f t="shared" si="6"/>
        <v>Residential_Appliances_Electric Range_Cooktop AEC_base</v>
      </c>
      <c r="B283" t="s">
        <v>1095</v>
      </c>
      <c r="C283" t="s">
        <v>1098</v>
      </c>
      <c r="D283" t="s">
        <v>1254</v>
      </c>
      <c r="E283" s="444" t="s">
        <v>1268</v>
      </c>
      <c r="F283" s="445">
        <f>F275 * (F281 / F282)</f>
        <v>122.53246753246754</v>
      </c>
      <c r="H283" s="441" t="s">
        <v>1256</v>
      </c>
      <c r="I283" s="441" t="s">
        <v>1257</v>
      </c>
      <c r="J283" s="441" t="b">
        <f t="shared" si="7"/>
        <v>1</v>
      </c>
    </row>
    <row r="284" spans="1:10" hidden="1" x14ac:dyDescent="0.25">
      <c r="A284" s="441" t="str">
        <f t="shared" si="6"/>
        <v>Residential_Appliances_Electric Range_AEC_baseelectric</v>
      </c>
      <c r="B284" t="s">
        <v>1095</v>
      </c>
      <c r="C284" t="s">
        <v>1098</v>
      </c>
      <c r="D284" t="s">
        <v>1254</v>
      </c>
      <c r="E284" s="444" t="s">
        <v>1269</v>
      </c>
      <c r="F284" s="445">
        <v>54.3</v>
      </c>
      <c r="G284" s="441" t="s">
        <v>1263</v>
      </c>
      <c r="H284" s="441" t="s">
        <v>1256</v>
      </c>
      <c r="I284" s="441" t="s">
        <v>1257</v>
      </c>
      <c r="J284" s="441" t="b">
        <f t="shared" si="7"/>
        <v>0</v>
      </c>
    </row>
    <row r="285" spans="1:10" hidden="1" x14ac:dyDescent="0.25">
      <c r="A285" s="441" t="str">
        <f t="shared" si="6"/>
        <v>Residential_Appliances_Electric Range_3412</v>
      </c>
      <c r="B285" t="s">
        <v>1095</v>
      </c>
      <c r="C285" t="s">
        <v>1098</v>
      </c>
      <c r="D285" t="s">
        <v>1254</v>
      </c>
      <c r="E285" s="444">
        <v>3412</v>
      </c>
      <c r="F285" s="458">
        <v>3412</v>
      </c>
      <c r="H285" s="441" t="s">
        <v>1256</v>
      </c>
      <c r="I285" s="441" t="s">
        <v>1257</v>
      </c>
      <c r="J285" s="441" t="b">
        <f t="shared" si="7"/>
        <v>0</v>
      </c>
    </row>
    <row r="286" spans="1:10" hidden="1" x14ac:dyDescent="0.25">
      <c r="A286" s="441" t="str">
        <f t="shared" si="6"/>
        <v>Residential_Appliances_Electric Range_1000000</v>
      </c>
      <c r="B286" t="s">
        <v>1095</v>
      </c>
      <c r="C286" t="s">
        <v>1098</v>
      </c>
      <c r="D286" t="s">
        <v>1254</v>
      </c>
      <c r="E286" s="444">
        <v>1000000</v>
      </c>
      <c r="F286" s="458">
        <v>1000000</v>
      </c>
      <c r="H286" s="441" t="s">
        <v>1256</v>
      </c>
      <c r="I286" s="441" t="s">
        <v>1257</v>
      </c>
      <c r="J286" s="441" t="b">
        <f t="shared" si="7"/>
        <v>0</v>
      </c>
    </row>
    <row r="287" spans="1:10" hidden="1" x14ac:dyDescent="0.25">
      <c r="A287" s="441" t="str">
        <f t="shared" si="6"/>
        <v>Residential_Appliances_Electric Range_Electric Consumption Replaced</v>
      </c>
      <c r="B287" t="s">
        <v>1095</v>
      </c>
      <c r="C287" t="s">
        <v>1098</v>
      </c>
      <c r="D287" t="s">
        <v>1254</v>
      </c>
      <c r="E287" s="442" t="s">
        <v>1270</v>
      </c>
      <c r="F287" s="443">
        <f>F284 * F285 / F286</f>
        <v>0.18527159999999998</v>
      </c>
      <c r="H287" s="441" t="s">
        <v>1256</v>
      </c>
      <c r="I287" s="441" t="s">
        <v>1257</v>
      </c>
      <c r="J287" s="441" t="b">
        <f t="shared" si="7"/>
        <v>1</v>
      </c>
    </row>
    <row r="288" spans="1:10" hidden="1" x14ac:dyDescent="0.25">
      <c r="A288" s="441" t="str">
        <f t="shared" si="6"/>
        <v>Residential_Appliances_Electric Range_Cooking Savings</v>
      </c>
      <c r="B288" t="s">
        <v>1095</v>
      </c>
      <c r="C288" t="s">
        <v>1098</v>
      </c>
      <c r="D288" t="s">
        <v>1254</v>
      </c>
      <c r="E288" s="442" t="s">
        <v>1271</v>
      </c>
      <c r="F288" s="443">
        <f>(F274 - F280) + F287</f>
        <v>1.3510404</v>
      </c>
      <c r="H288" s="441" t="s">
        <v>1256</v>
      </c>
      <c r="I288" s="441" t="s">
        <v>1257</v>
      </c>
      <c r="J288" s="441" t="b">
        <f t="shared" si="7"/>
        <v>1</v>
      </c>
    </row>
    <row r="289" spans="1:10" hidden="1" x14ac:dyDescent="0.25">
      <c r="A289" s="441" t="str">
        <f t="shared" si="6"/>
        <v>Residential_Appliances_Electric Range_%Cool</v>
      </c>
      <c r="B289" t="s">
        <v>1095</v>
      </c>
      <c r="C289" t="s">
        <v>1098</v>
      </c>
      <c r="D289" t="s">
        <v>1254</v>
      </c>
      <c r="E289" s="444" t="s">
        <v>1272</v>
      </c>
      <c r="F289" s="445">
        <f>IF([18]Dashboard_FS!$K$17="Yes",1,0)</f>
        <v>0</v>
      </c>
      <c r="H289" s="441" t="s">
        <v>1256</v>
      </c>
      <c r="I289" s="441" t="s">
        <v>1257</v>
      </c>
      <c r="J289" s="441" t="b">
        <f t="shared" si="7"/>
        <v>1</v>
      </c>
    </row>
    <row r="290" spans="1:10" hidden="1" x14ac:dyDescent="0.25">
      <c r="A290" s="441" t="str">
        <f t="shared" si="6"/>
        <v>Residential_Appliances_Electric Range_HCF_cool</v>
      </c>
      <c r="B290" t="s">
        <v>1095</v>
      </c>
      <c r="C290" t="s">
        <v>1098</v>
      </c>
      <c r="D290" t="s">
        <v>1254</v>
      </c>
      <c r="E290" s="444" t="s">
        <v>1273</v>
      </c>
      <c r="F290" s="445">
        <v>0.21</v>
      </c>
      <c r="H290" s="441" t="s">
        <v>1256</v>
      </c>
      <c r="I290" s="441" t="s">
        <v>1257</v>
      </c>
      <c r="J290" s="441" t="b">
        <f t="shared" si="7"/>
        <v>0</v>
      </c>
    </row>
    <row r="291" spans="1:10" hidden="1" x14ac:dyDescent="0.25">
      <c r="A291" s="441" t="str">
        <f t="shared" si="6"/>
        <v>Residential_Appliances_Electric Range_Vent Factor</v>
      </c>
      <c r="B291" t="s">
        <v>1095</v>
      </c>
      <c r="C291" t="s">
        <v>1098</v>
      </c>
      <c r="D291" t="s">
        <v>1254</v>
      </c>
      <c r="E291" s="444" t="s">
        <v>1274</v>
      </c>
      <c r="F291" s="445">
        <v>0.5</v>
      </c>
      <c r="H291" s="441" t="s">
        <v>1256</v>
      </c>
      <c r="I291" s="441" t="s">
        <v>1257</v>
      </c>
      <c r="J291" s="441" t="b">
        <f t="shared" si="7"/>
        <v>0</v>
      </c>
    </row>
    <row r="292" spans="1:10" hidden="1" x14ac:dyDescent="0.25">
      <c r="A292" s="441" t="str">
        <f t="shared" si="6"/>
        <v>Residential_Appliances_Electric Range_COP_cool</v>
      </c>
      <c r="B292" t="s">
        <v>1095</v>
      </c>
      <c r="C292" t="s">
        <v>1098</v>
      </c>
      <c r="D292" t="s">
        <v>1254</v>
      </c>
      <c r="E292" s="444" t="s">
        <v>1275</v>
      </c>
      <c r="F292" s="445">
        <v>3.3</v>
      </c>
      <c r="G292" s="441" t="s">
        <v>1136</v>
      </c>
      <c r="H292" s="441" t="s">
        <v>1256</v>
      </c>
      <c r="I292" s="441" t="s">
        <v>1257</v>
      </c>
      <c r="J292" s="441" t="b">
        <f t="shared" si="7"/>
        <v>0</v>
      </c>
    </row>
    <row r="293" spans="1:10" hidden="1" x14ac:dyDescent="0.25">
      <c r="A293" s="441" t="str">
        <f t="shared" si="6"/>
        <v>Residential_Appliances_Electric Range_Cooling Impact</v>
      </c>
      <c r="B293" t="s">
        <v>1095</v>
      </c>
      <c r="C293" t="s">
        <v>1098</v>
      </c>
      <c r="D293" t="s">
        <v>1254</v>
      </c>
      <c r="E293" s="442" t="s">
        <v>1276</v>
      </c>
      <c r="F293" s="443">
        <f>F288 * F289 * F290 * F291 / F292</f>
        <v>0</v>
      </c>
      <c r="H293" s="441" t="s">
        <v>1256</v>
      </c>
      <c r="I293" s="441" t="s">
        <v>1257</v>
      </c>
      <c r="J293" s="441" t="b">
        <f t="shared" si="7"/>
        <v>1</v>
      </c>
    </row>
    <row r="294" spans="1:10" hidden="1" x14ac:dyDescent="0.25">
      <c r="A294" s="441" t="str">
        <f t="shared" si="6"/>
        <v>Residential_Appliances_Electric Range_%ElectricHeat</v>
      </c>
      <c r="B294" t="s">
        <v>1095</v>
      </c>
      <c r="C294" t="s">
        <v>1098</v>
      </c>
      <c r="D294" t="s">
        <v>1254</v>
      </c>
      <c r="E294" s="444" t="s">
        <v>1277</v>
      </c>
      <c r="F294" s="445">
        <v>0.24</v>
      </c>
      <c r="G294" s="441" t="s">
        <v>1278</v>
      </c>
      <c r="H294" s="441" t="s">
        <v>1256</v>
      </c>
      <c r="I294" s="441" t="s">
        <v>1257</v>
      </c>
      <c r="J294" s="441" t="b">
        <f t="shared" si="7"/>
        <v>0</v>
      </c>
    </row>
    <row r="295" spans="1:10" hidden="1" x14ac:dyDescent="0.25">
      <c r="A295" s="441" t="str">
        <f t="shared" si="6"/>
        <v>Residential_Appliances_Electric Range_HCF_heat</v>
      </c>
      <c r="B295" t="s">
        <v>1095</v>
      </c>
      <c r="C295" t="s">
        <v>1098</v>
      </c>
      <c r="D295" t="s">
        <v>1254</v>
      </c>
      <c r="E295" s="444" t="s">
        <v>1279</v>
      </c>
      <c r="F295" s="445">
        <v>0.34799999999999998</v>
      </c>
      <c r="H295" s="441" t="s">
        <v>1256</v>
      </c>
      <c r="I295" s="441" t="s">
        <v>1257</v>
      </c>
      <c r="J295" s="441" t="b">
        <f t="shared" si="7"/>
        <v>0</v>
      </c>
    </row>
    <row r="296" spans="1:10" hidden="1" x14ac:dyDescent="0.25">
      <c r="A296" s="441" t="str">
        <f t="shared" si="6"/>
        <v>Residential_Appliances_Electric Range_Vent Factor</v>
      </c>
      <c r="B296" t="s">
        <v>1095</v>
      </c>
      <c r="C296" t="s">
        <v>1098</v>
      </c>
      <c r="D296" t="s">
        <v>1254</v>
      </c>
      <c r="E296" s="444" t="s">
        <v>1274</v>
      </c>
      <c r="F296" s="445">
        <v>0.5</v>
      </c>
      <c r="H296" s="441" t="s">
        <v>1256</v>
      </c>
      <c r="I296" s="441" t="s">
        <v>1257</v>
      </c>
      <c r="J296" s="441" t="b">
        <f t="shared" si="7"/>
        <v>0</v>
      </c>
    </row>
    <row r="297" spans="1:10" hidden="1" x14ac:dyDescent="0.25">
      <c r="A297" s="441" t="str">
        <f t="shared" si="6"/>
        <v>Residential_Appliances_Electric Range_COP_heat</v>
      </c>
      <c r="B297" t="s">
        <v>1095</v>
      </c>
      <c r="C297" t="s">
        <v>1098</v>
      </c>
      <c r="D297" t="s">
        <v>1254</v>
      </c>
      <c r="E297" s="444" t="s">
        <v>1280</v>
      </c>
      <c r="F297" s="445">
        <v>1.3</v>
      </c>
      <c r="G297" s="441" t="s">
        <v>1136</v>
      </c>
      <c r="H297" s="441" t="s">
        <v>1256</v>
      </c>
      <c r="I297" s="441" t="s">
        <v>1257</v>
      </c>
      <c r="J297" s="441" t="b">
        <f t="shared" si="7"/>
        <v>0</v>
      </c>
    </row>
    <row r="298" spans="1:10" hidden="1" x14ac:dyDescent="0.25">
      <c r="A298" s="441" t="str">
        <f t="shared" si="6"/>
        <v>Residential_Appliances_Electric Range_ElecHeat Impact</v>
      </c>
      <c r="B298" t="s">
        <v>1095</v>
      </c>
      <c r="C298" t="s">
        <v>1098</v>
      </c>
      <c r="D298" t="s">
        <v>1254</v>
      </c>
      <c r="E298" s="442" t="s">
        <v>1281</v>
      </c>
      <c r="F298" s="443">
        <f>F288 * F294 * F295 * F296 / F297</f>
        <v>4.3399574695384607E-2</v>
      </c>
      <c r="H298" s="441" t="s">
        <v>1256</v>
      </c>
      <c r="I298" s="441" t="s">
        <v>1257</v>
      </c>
      <c r="J298" s="441" t="b">
        <f t="shared" si="7"/>
        <v>1</v>
      </c>
    </row>
    <row r="299" spans="1:10" hidden="1" x14ac:dyDescent="0.25">
      <c r="A299" s="441" t="str">
        <f t="shared" si="6"/>
        <v>Residential_Appliances_Electric Range_%FossilFuelHeat</v>
      </c>
      <c r="B299" t="s">
        <v>1095</v>
      </c>
      <c r="C299" t="s">
        <v>1098</v>
      </c>
      <c r="D299" t="s">
        <v>1254</v>
      </c>
      <c r="E299" s="444" t="s">
        <v>1282</v>
      </c>
      <c r="F299" s="445">
        <v>0.76</v>
      </c>
      <c r="G299" s="441" t="s">
        <v>1136</v>
      </c>
      <c r="H299" s="441" t="s">
        <v>1256</v>
      </c>
      <c r="I299" s="441" t="s">
        <v>1257</v>
      </c>
      <c r="J299" s="441" t="b">
        <f t="shared" si="7"/>
        <v>0</v>
      </c>
    </row>
    <row r="300" spans="1:10" hidden="1" x14ac:dyDescent="0.25">
      <c r="A300" s="441" t="str">
        <f t="shared" si="6"/>
        <v>Residential_Appliances_Electric Range_HCF_heat</v>
      </c>
      <c r="B300" t="s">
        <v>1095</v>
      </c>
      <c r="C300" t="s">
        <v>1098</v>
      </c>
      <c r="D300" t="s">
        <v>1254</v>
      </c>
      <c r="E300" s="444" t="s">
        <v>1279</v>
      </c>
      <c r="F300" s="445">
        <v>0.21</v>
      </c>
      <c r="H300" s="441" t="s">
        <v>1256</v>
      </c>
      <c r="I300" s="441" t="s">
        <v>1257</v>
      </c>
      <c r="J300" s="441" t="b">
        <f t="shared" si="7"/>
        <v>0</v>
      </c>
    </row>
    <row r="301" spans="1:10" hidden="1" x14ac:dyDescent="0.25">
      <c r="A301" s="441" t="str">
        <f t="shared" si="6"/>
        <v>Residential_Appliances_Electric Range_Vent Factor</v>
      </c>
      <c r="B301" t="s">
        <v>1095</v>
      </c>
      <c r="C301" t="s">
        <v>1098</v>
      </c>
      <c r="D301" t="s">
        <v>1254</v>
      </c>
      <c r="E301" s="444" t="s">
        <v>1274</v>
      </c>
      <c r="F301" s="445">
        <v>0.5</v>
      </c>
      <c r="H301" s="441" t="s">
        <v>1256</v>
      </c>
      <c r="I301" s="441" t="s">
        <v>1257</v>
      </c>
      <c r="J301" s="441" t="b">
        <f t="shared" si="7"/>
        <v>0</v>
      </c>
    </row>
    <row r="302" spans="1:10" hidden="1" x14ac:dyDescent="0.25">
      <c r="A302" s="441" t="str">
        <f t="shared" si="6"/>
        <v>Residential_Appliances_Electric Range_nHeat</v>
      </c>
      <c r="B302" t="s">
        <v>1095</v>
      </c>
      <c r="C302" t="s">
        <v>1098</v>
      </c>
      <c r="D302" t="s">
        <v>1254</v>
      </c>
      <c r="E302" s="444" t="s">
        <v>1283</v>
      </c>
      <c r="F302" s="445">
        <v>0.7</v>
      </c>
      <c r="H302" s="441" t="s">
        <v>1256</v>
      </c>
      <c r="I302" s="441" t="s">
        <v>1257</v>
      </c>
      <c r="J302" s="441" t="b">
        <f t="shared" si="7"/>
        <v>0</v>
      </c>
    </row>
    <row r="303" spans="1:10" hidden="1" x14ac:dyDescent="0.25">
      <c r="A303" s="441" t="str">
        <f t="shared" si="6"/>
        <v>Residential_Appliances_Electric Range_Fossil Fuel Heat Impact</v>
      </c>
      <c r="B303" t="s">
        <v>1095</v>
      </c>
      <c r="C303" t="s">
        <v>1098</v>
      </c>
      <c r="D303" t="s">
        <v>1254</v>
      </c>
      <c r="E303" s="442" t="s">
        <v>1284</v>
      </c>
      <c r="F303" s="443">
        <f>F288 * F299 * F300 * F301 / F302</f>
        <v>0.1540186056</v>
      </c>
      <c r="H303" s="441" t="s">
        <v>1256</v>
      </c>
      <c r="I303" s="441" t="s">
        <v>1257</v>
      </c>
      <c r="J303" s="441" t="b">
        <f t="shared" si="7"/>
        <v>1</v>
      </c>
    </row>
    <row r="304" spans="1:10" hidden="1" x14ac:dyDescent="0.25">
      <c r="A304" s="441" t="str">
        <f t="shared" si="6"/>
        <v>Residential_Appliances_Electric Range_1000000</v>
      </c>
      <c r="B304" t="s">
        <v>1095</v>
      </c>
      <c r="C304" t="s">
        <v>1098</v>
      </c>
      <c r="D304" t="s">
        <v>1254</v>
      </c>
      <c r="E304" s="444">
        <v>1000000</v>
      </c>
      <c r="F304" s="458">
        <v>1000000</v>
      </c>
      <c r="H304" s="441" t="s">
        <v>1256</v>
      </c>
      <c r="I304" s="441" t="s">
        <v>1257</v>
      </c>
      <c r="J304" s="441" t="b">
        <f t="shared" si="7"/>
        <v>0</v>
      </c>
    </row>
    <row r="305" spans="1:10" hidden="1" x14ac:dyDescent="0.25">
      <c r="A305" s="441" t="str">
        <f t="shared" si="6"/>
        <v>Residential_Appliances_Electric Range_3412</v>
      </c>
      <c r="B305" t="s">
        <v>1095</v>
      </c>
      <c r="C305" t="s">
        <v>1098</v>
      </c>
      <c r="D305" t="s">
        <v>1254</v>
      </c>
      <c r="E305" s="444">
        <v>3412</v>
      </c>
      <c r="F305" s="458">
        <v>3412</v>
      </c>
      <c r="H305" s="441" t="s">
        <v>1256</v>
      </c>
      <c r="I305" s="441" t="s">
        <v>1257</v>
      </c>
      <c r="J305" s="441" t="b">
        <f t="shared" si="7"/>
        <v>0</v>
      </c>
    </row>
    <row r="306" spans="1:10" hidden="1" x14ac:dyDescent="0.25">
      <c r="A306" s="441" t="str">
        <f t="shared" si="6"/>
        <v>Residential_Appliances_Electric Range_Hours</v>
      </c>
      <c r="B306" t="s">
        <v>1095</v>
      </c>
      <c r="C306" t="s">
        <v>1098</v>
      </c>
      <c r="D306" t="s">
        <v>1254</v>
      </c>
      <c r="E306" s="444" t="s">
        <v>1227</v>
      </c>
      <c r="F306" s="458">
        <v>239</v>
      </c>
      <c r="H306" s="441" t="s">
        <v>1256</v>
      </c>
      <c r="I306" s="441" t="s">
        <v>1257</v>
      </c>
      <c r="J306" s="441" t="b">
        <f t="shared" si="7"/>
        <v>0</v>
      </c>
    </row>
    <row r="307" spans="1:10" hidden="1" x14ac:dyDescent="0.25">
      <c r="A307" s="441" t="str">
        <f t="shared" si="6"/>
        <v>Residential_Appliances_Electric Range_WHFd</v>
      </c>
      <c r="B307" t="s">
        <v>1095</v>
      </c>
      <c r="C307" t="s">
        <v>1098</v>
      </c>
      <c r="D307" t="s">
        <v>1254</v>
      </c>
      <c r="E307" s="444" t="s">
        <v>1285</v>
      </c>
      <c r="F307" s="445">
        <v>1.1100000000000001</v>
      </c>
      <c r="H307" s="441" t="s">
        <v>1256</v>
      </c>
      <c r="I307" s="441" t="s">
        <v>1257</v>
      </c>
      <c r="J307" s="441" t="b">
        <f t="shared" si="7"/>
        <v>0</v>
      </c>
    </row>
    <row r="308" spans="1:10" hidden="1" x14ac:dyDescent="0.25">
      <c r="A308" s="441" t="str">
        <f t="shared" si="6"/>
        <v>Residential_Appliances_Electric Range_CF</v>
      </c>
      <c r="B308" t="s">
        <v>1095</v>
      </c>
      <c r="C308" t="s">
        <v>1098</v>
      </c>
      <c r="D308" t="s">
        <v>1254</v>
      </c>
      <c r="E308" s="444" t="s">
        <v>1153</v>
      </c>
      <c r="F308" s="445">
        <v>0.28999999999999998</v>
      </c>
      <c r="H308" s="441" t="s">
        <v>1256</v>
      </c>
      <c r="I308" s="441" t="s">
        <v>1257</v>
      </c>
      <c r="J308" s="441" t="b">
        <f t="shared" si="7"/>
        <v>0</v>
      </c>
    </row>
    <row r="309" spans="1:10" hidden="1" x14ac:dyDescent="0.25">
      <c r="A309" s="441" t="str">
        <f t="shared" si="6"/>
        <v>Residential_Appliances_Electric Range_kW Saved per Unit</v>
      </c>
      <c r="B309" t="s">
        <v>1095</v>
      </c>
      <c r="C309" t="s">
        <v>1098</v>
      </c>
      <c r="D309" t="s">
        <v>1254</v>
      </c>
      <c r="E309" s="442" t="s">
        <v>1286</v>
      </c>
      <c r="F309" s="443">
        <f>((F284 - F277 + F293 - F298) * F304 / F305) / F306 * F307 * F308</f>
        <v>-90.136878851278595</v>
      </c>
      <c r="H309" s="441" t="s">
        <v>1256</v>
      </c>
      <c r="I309" s="441" t="s">
        <v>1257</v>
      </c>
      <c r="J309" s="441" t="b">
        <f t="shared" si="7"/>
        <v>1</v>
      </c>
    </row>
    <row r="310" spans="1:10" hidden="1" x14ac:dyDescent="0.25">
      <c r="A310" s="441" t="str">
        <f t="shared" si="6"/>
        <v>Residential_Appliances_Electric Range_kWh Saved per Unit</v>
      </c>
      <c r="B310" t="s">
        <v>1095</v>
      </c>
      <c r="C310" t="s">
        <v>1098</v>
      </c>
      <c r="D310" t="s">
        <v>1254</v>
      </c>
      <c r="E310" s="450" t="s">
        <v>1156</v>
      </c>
      <c r="F310" s="451">
        <f>F283-F275</f>
        <v>11.532467532467535</v>
      </c>
      <c r="H310" s="441" t="s">
        <v>1256</v>
      </c>
      <c r="I310" s="441" t="s">
        <v>1257</v>
      </c>
      <c r="J310" s="441" t="b">
        <f t="shared" si="7"/>
        <v>1</v>
      </c>
    </row>
    <row r="311" spans="1:10" hidden="1" x14ac:dyDescent="0.25">
      <c r="A311" s="441" t="str">
        <f t="shared" si="6"/>
        <v>Residential_Appliances_Electric Range_Incremental Cost</v>
      </c>
      <c r="B311" t="s">
        <v>1095</v>
      </c>
      <c r="C311" t="s">
        <v>1098</v>
      </c>
      <c r="D311" t="s">
        <v>1254</v>
      </c>
      <c r="E311" s="450" t="s">
        <v>1161</v>
      </c>
      <c r="F311" s="452">
        <f>949+200</f>
        <v>1149</v>
      </c>
      <c r="H311" s="441" t="s">
        <v>1256</v>
      </c>
      <c r="I311" s="441" t="s">
        <v>1257</v>
      </c>
      <c r="J311" s="441" t="b">
        <f t="shared" si="7"/>
        <v>1</v>
      </c>
    </row>
    <row r="312" spans="1:10" hidden="1" x14ac:dyDescent="0.25">
      <c r="A312" s="441" t="str">
        <f t="shared" ref="A312:A375" si="8">B312&amp;"_"&amp;C312&amp;"_"&amp;D312&amp;"_"&amp;E312</f>
        <v>Residential_Appliances_Electric Range_BTU Impact_Existing_Fossil Fuel</v>
      </c>
      <c r="B312" t="s">
        <v>1095</v>
      </c>
      <c r="C312" t="s">
        <v>1098</v>
      </c>
      <c r="D312" t="s">
        <v>1254</v>
      </c>
      <c r="E312" s="450" t="s">
        <v>1163</v>
      </c>
      <c r="F312" s="451">
        <f>-F274*10^6</f>
        <v>-2130000</v>
      </c>
      <c r="H312" s="441" t="s">
        <v>1256</v>
      </c>
      <c r="I312" s="441" t="s">
        <v>1257</v>
      </c>
      <c r="J312" s="441" t="b">
        <f t="shared" si="7"/>
        <v>1</v>
      </c>
    </row>
    <row r="313" spans="1:10" hidden="1" x14ac:dyDescent="0.25">
      <c r="A313" s="441" t="str">
        <f t="shared" si="8"/>
        <v>Residential_Appliances_Electric Range_BTU Impact_Existing_Winter Electricity</v>
      </c>
      <c r="B313" t="s">
        <v>1095</v>
      </c>
      <c r="C313" t="s">
        <v>1098</v>
      </c>
      <c r="D313" t="s">
        <v>1254</v>
      </c>
      <c r="E313" s="450" t="s">
        <v>1164</v>
      </c>
      <c r="F313" s="451">
        <f>-F287*(8/12)*10^6</f>
        <v>-123514.39999999998</v>
      </c>
      <c r="H313" s="441" t="s">
        <v>1256</v>
      </c>
      <c r="I313" s="441" t="s">
        <v>1257</v>
      </c>
      <c r="J313" s="441" t="b">
        <f t="shared" si="7"/>
        <v>1</v>
      </c>
    </row>
    <row r="314" spans="1:10" hidden="1" x14ac:dyDescent="0.25">
      <c r="A314" s="441" t="str">
        <f t="shared" si="8"/>
        <v>Residential_Appliances_Electric Range_BTU Impact_Existing_Summer Electricity</v>
      </c>
      <c r="B314" t="s">
        <v>1095</v>
      </c>
      <c r="C314" t="s">
        <v>1098</v>
      </c>
      <c r="D314" t="s">
        <v>1254</v>
      </c>
      <c r="E314" s="450" t="s">
        <v>1165</v>
      </c>
      <c r="F314" s="451">
        <f>-F287*(4/12)*10^6</f>
        <v>-61757.19999999999</v>
      </c>
      <c r="H314" s="441" t="s">
        <v>1256</v>
      </c>
      <c r="I314" s="441" t="s">
        <v>1257</v>
      </c>
      <c r="J314" s="441" t="b">
        <f t="shared" si="7"/>
        <v>1</v>
      </c>
    </row>
    <row r="315" spans="1:10" hidden="1" x14ac:dyDescent="0.25">
      <c r="A315" s="441" t="str">
        <f t="shared" si="8"/>
        <v>Residential_Appliances_Electric Range_BTU Impact_New_Fossil Fuel</v>
      </c>
      <c r="B315" t="s">
        <v>1095</v>
      </c>
      <c r="C315" t="s">
        <v>1098</v>
      </c>
      <c r="D315" t="s">
        <v>1254</v>
      </c>
      <c r="E315" s="450" t="s">
        <v>1166</v>
      </c>
      <c r="F315" s="451">
        <f>F303*10^6</f>
        <v>154018.60560000001</v>
      </c>
      <c r="H315" s="441" t="s">
        <v>1256</v>
      </c>
      <c r="I315" s="441" t="s">
        <v>1257</v>
      </c>
      <c r="J315" s="441" t="b">
        <f t="shared" si="7"/>
        <v>1</v>
      </c>
    </row>
    <row r="316" spans="1:10" hidden="1" x14ac:dyDescent="0.25">
      <c r="A316" s="441" t="str">
        <f t="shared" si="8"/>
        <v>Residential_Appliances_Electric Range_BTU Impact_New_Winter Electricity</v>
      </c>
      <c r="B316" t="s">
        <v>1095</v>
      </c>
      <c r="C316" t="s">
        <v>1098</v>
      </c>
      <c r="D316" t="s">
        <v>1254</v>
      </c>
      <c r="E316" s="450" t="s">
        <v>1167</v>
      </c>
      <c r="F316" s="451">
        <f xml:space="preserve"> (F280*10^6) * (8/12) + F298*10^6</f>
        <v>686220.37469538464</v>
      </c>
      <c r="H316" s="441" t="s">
        <v>1256</v>
      </c>
      <c r="I316" s="441" t="s">
        <v>1257</v>
      </c>
      <c r="J316" s="441" t="b">
        <f t="shared" si="7"/>
        <v>1</v>
      </c>
    </row>
    <row r="317" spans="1:10" hidden="1" x14ac:dyDescent="0.25">
      <c r="A317" s="441" t="str">
        <f t="shared" si="8"/>
        <v>Residential_Appliances_Electric Range_BTU Impact_New_Summer Electricity</v>
      </c>
      <c r="B317" t="s">
        <v>1095</v>
      </c>
      <c r="C317" t="s">
        <v>1098</v>
      </c>
      <c r="D317" t="s">
        <v>1254</v>
      </c>
      <c r="E317" s="450" t="s">
        <v>1168</v>
      </c>
      <c r="F317" s="451">
        <f xml:space="preserve"> (F280*10^6) * (4/12) + F293*10^6</f>
        <v>321410.40000000002</v>
      </c>
      <c r="H317" s="441" t="s">
        <v>1256</v>
      </c>
      <c r="I317" s="441" t="s">
        <v>1257</v>
      </c>
      <c r="J317" s="441" t="b">
        <f t="shared" si="7"/>
        <v>1</v>
      </c>
    </row>
    <row r="318" spans="1:10" hidden="1" x14ac:dyDescent="0.25">
      <c r="A318" s="441" t="str">
        <f t="shared" si="8"/>
        <v>Residential_Appliances_Electric Range_</v>
      </c>
      <c r="B318" t="s">
        <v>1095</v>
      </c>
      <c r="C318" t="s">
        <v>1098</v>
      </c>
      <c r="D318" t="s">
        <v>1254</v>
      </c>
      <c r="H318" s="441" t="s">
        <v>1256</v>
      </c>
      <c r="I318" s="441" t="s">
        <v>1257</v>
      </c>
      <c r="J318" s="441" t="b">
        <f t="shared" si="7"/>
        <v>0</v>
      </c>
    </row>
    <row r="319" spans="1:10" hidden="1" x14ac:dyDescent="0.25">
      <c r="A319" s="441" t="str">
        <f t="shared" si="8"/>
        <v>Residential_Building Shell_Air Sealing (Electric Heat)_CFM50_existing</v>
      </c>
      <c r="B319" t="s">
        <v>1095</v>
      </c>
      <c r="C319" t="s">
        <v>1099</v>
      </c>
      <c r="D319" t="s">
        <v>1287</v>
      </c>
      <c r="E319" s="442" t="s">
        <v>1288</v>
      </c>
      <c r="F319" s="453">
        <f>[18]Dashboard_FS!$O$3</f>
        <v>0</v>
      </c>
      <c r="G319" s="441" t="s">
        <v>1289</v>
      </c>
      <c r="H319" s="441" t="s">
        <v>1290</v>
      </c>
      <c r="I319" s="441" t="s">
        <v>1291</v>
      </c>
      <c r="J319" s="441" t="b">
        <f t="shared" si="7"/>
        <v>1</v>
      </c>
    </row>
    <row r="320" spans="1:10" hidden="1" x14ac:dyDescent="0.25">
      <c r="A320" s="441" t="str">
        <f t="shared" si="8"/>
        <v>Residential_Building Shell_Air Sealing (Electric Heat)_CFM50_new</v>
      </c>
      <c r="B320" t="s">
        <v>1095</v>
      </c>
      <c r="C320" t="s">
        <v>1099</v>
      </c>
      <c r="D320" t="s">
        <v>1287</v>
      </c>
      <c r="E320" s="444" t="s">
        <v>1292</v>
      </c>
      <c r="F320" s="454">
        <v>0</v>
      </c>
      <c r="G320" s="441" t="s">
        <v>1293</v>
      </c>
      <c r="H320" s="441" t="s">
        <v>1290</v>
      </c>
      <c r="I320" s="441" t="s">
        <v>1291</v>
      </c>
      <c r="J320" s="441" t="b">
        <f t="shared" si="7"/>
        <v>0</v>
      </c>
    </row>
    <row r="321" spans="1:10" hidden="1" x14ac:dyDescent="0.25">
      <c r="A321" s="441" t="str">
        <f t="shared" si="8"/>
        <v>Residential_Building Shell_Air Sealing (Electric Heat)_N_cool</v>
      </c>
      <c r="B321" t="s">
        <v>1095</v>
      </c>
      <c r="C321" t="s">
        <v>1099</v>
      </c>
      <c r="D321" t="s">
        <v>1287</v>
      </c>
      <c r="E321" s="444" t="s">
        <v>1294</v>
      </c>
      <c r="F321" s="454">
        <v>36.5</v>
      </c>
      <c r="G321" s="441" t="s">
        <v>1295</v>
      </c>
      <c r="H321" s="441" t="s">
        <v>1290</v>
      </c>
      <c r="I321" s="441" t="s">
        <v>1291</v>
      </c>
      <c r="J321" s="441" t="b">
        <f t="shared" si="7"/>
        <v>0</v>
      </c>
    </row>
    <row r="322" spans="1:10" hidden="1" x14ac:dyDescent="0.25">
      <c r="A322" s="441" t="str">
        <f t="shared" si="8"/>
        <v>Residential_Building Shell_Air Sealing (Electric Heat)_60</v>
      </c>
      <c r="B322" t="s">
        <v>1095</v>
      </c>
      <c r="C322" t="s">
        <v>1099</v>
      </c>
      <c r="D322" t="s">
        <v>1287</v>
      </c>
      <c r="E322" s="444">
        <v>60</v>
      </c>
      <c r="F322" s="454">
        <v>60</v>
      </c>
      <c r="H322" s="441" t="s">
        <v>1290</v>
      </c>
      <c r="I322" s="441" t="s">
        <v>1291</v>
      </c>
      <c r="J322" s="441" t="b">
        <f t="shared" ref="J322:J391" si="9">_xlfn.ISFORMULA(F322)</f>
        <v>0</v>
      </c>
    </row>
    <row r="323" spans="1:10" hidden="1" x14ac:dyDescent="0.25">
      <c r="A323" s="441" t="str">
        <f t="shared" si="8"/>
        <v>Residential_Building Shell_Air Sealing (Electric Heat)_24</v>
      </c>
      <c r="B323" t="s">
        <v>1095</v>
      </c>
      <c r="C323" t="s">
        <v>1099</v>
      </c>
      <c r="D323" t="s">
        <v>1287</v>
      </c>
      <c r="E323" s="444">
        <v>24</v>
      </c>
      <c r="F323" s="454">
        <v>24</v>
      </c>
      <c r="H323" s="441" t="s">
        <v>1290</v>
      </c>
      <c r="I323" s="441" t="s">
        <v>1291</v>
      </c>
      <c r="J323" s="441" t="b">
        <f t="shared" si="9"/>
        <v>0</v>
      </c>
    </row>
    <row r="324" spans="1:10" hidden="1" x14ac:dyDescent="0.25">
      <c r="A324" s="441" t="str">
        <f t="shared" si="8"/>
        <v>Residential_Building Shell_Air Sealing (Electric Heat)_CDD</v>
      </c>
      <c r="B324" t="s">
        <v>1095</v>
      </c>
      <c r="C324" t="s">
        <v>1099</v>
      </c>
      <c r="D324" t="s">
        <v>1287</v>
      </c>
      <c r="E324" s="444" t="s">
        <v>1296</v>
      </c>
      <c r="F324" s="464">
        <f>INDEX('[18]CZ Inputs'!G:G,MATCH(A324&amp;"_"&amp;[18]Dashboard_EE!$K$3,'[18]CZ Inputs'!A:A,0))</f>
        <v>1183</v>
      </c>
      <c r="G324" s="441" t="s">
        <v>1297</v>
      </c>
      <c r="H324" s="441" t="s">
        <v>1290</v>
      </c>
      <c r="I324" s="441" t="s">
        <v>1291</v>
      </c>
      <c r="J324" s="441" t="b">
        <f t="shared" si="9"/>
        <v>1</v>
      </c>
    </row>
    <row r="325" spans="1:10" hidden="1" x14ac:dyDescent="0.25">
      <c r="A325" s="441" t="str">
        <f t="shared" si="8"/>
        <v>Residential_Building Shell_Air Sealing (Electric Heat)_DUA</v>
      </c>
      <c r="B325" t="s">
        <v>1095</v>
      </c>
      <c r="C325" t="s">
        <v>1099</v>
      </c>
      <c r="D325" t="s">
        <v>1287</v>
      </c>
      <c r="E325" s="444" t="s">
        <v>1298</v>
      </c>
      <c r="F325" s="454">
        <v>0.75</v>
      </c>
      <c r="H325" s="441" t="s">
        <v>1290</v>
      </c>
      <c r="I325" s="441" t="s">
        <v>1291</v>
      </c>
      <c r="J325" s="441" t="b">
        <f t="shared" si="9"/>
        <v>0</v>
      </c>
    </row>
    <row r="326" spans="1:10" hidden="1" x14ac:dyDescent="0.25">
      <c r="A326" s="441" t="str">
        <f t="shared" si="8"/>
        <v>Residential_Building Shell_Air Sealing (Electric Heat)_0.018</v>
      </c>
      <c r="B326" t="s">
        <v>1095</v>
      </c>
      <c r="C326" t="s">
        <v>1099</v>
      </c>
      <c r="D326" t="s">
        <v>1287</v>
      </c>
      <c r="E326" s="444">
        <v>1.7999999999999999E-2</v>
      </c>
      <c r="F326" s="454">
        <v>1.7999999999999999E-2</v>
      </c>
      <c r="H326" s="441" t="s">
        <v>1290</v>
      </c>
      <c r="I326" s="441" t="s">
        <v>1291</v>
      </c>
      <c r="J326" s="441" t="b">
        <f t="shared" si="9"/>
        <v>0</v>
      </c>
    </row>
    <row r="327" spans="1:10" hidden="1" x14ac:dyDescent="0.25">
      <c r="A327" s="441" t="str">
        <f t="shared" si="8"/>
        <v>Residential_Building Shell_Air Sealing (Electric Heat)_1000</v>
      </c>
      <c r="B327" t="s">
        <v>1095</v>
      </c>
      <c r="C327" t="s">
        <v>1099</v>
      </c>
      <c r="D327" t="s">
        <v>1287</v>
      </c>
      <c r="E327" s="444">
        <v>1000</v>
      </c>
      <c r="F327" s="454">
        <v>1000</v>
      </c>
      <c r="H327" s="441" t="s">
        <v>1290</v>
      </c>
      <c r="I327" s="441" t="s">
        <v>1291</v>
      </c>
      <c r="J327" s="441" t="b">
        <f t="shared" si="9"/>
        <v>0</v>
      </c>
    </row>
    <row r="328" spans="1:10" hidden="1" x14ac:dyDescent="0.25">
      <c r="A328" s="441" t="str">
        <f t="shared" si="8"/>
        <v>Residential_Building Shell_Air Sealing (Electric Heat)_ηCool</v>
      </c>
      <c r="B328" t="s">
        <v>1095</v>
      </c>
      <c r="C328" t="s">
        <v>1099</v>
      </c>
      <c r="D328" t="s">
        <v>1287</v>
      </c>
      <c r="E328" s="442" t="s">
        <v>1299</v>
      </c>
      <c r="F328" s="453">
        <f>[18]Dashboard_FS!$K$14</f>
        <v>0</v>
      </c>
      <c r="G328" s="441" t="s">
        <v>1116</v>
      </c>
      <c r="H328" s="441" t="s">
        <v>1290</v>
      </c>
      <c r="I328" s="441" t="s">
        <v>1291</v>
      </c>
      <c r="J328" s="441" t="b">
        <f t="shared" si="9"/>
        <v>1</v>
      </c>
    </row>
    <row r="329" spans="1:10" hidden="1" x14ac:dyDescent="0.25">
      <c r="A329" s="441" t="str">
        <f t="shared" si="8"/>
        <v>Residential_Building Shell_Air Sealing (Electric Heat)_ηCool_Mid-Life_Adj</v>
      </c>
      <c r="B329" t="s">
        <v>1095</v>
      </c>
      <c r="C329" t="s">
        <v>1099</v>
      </c>
      <c r="D329" t="s">
        <v>1287</v>
      </c>
      <c r="E329" s="442" t="s">
        <v>1300</v>
      </c>
      <c r="F329" s="453">
        <f>[18]Dashboard_FS!$K$14</f>
        <v>0</v>
      </c>
      <c r="G329" s="441" t="s">
        <v>1116</v>
      </c>
      <c r="H329" s="441" t="s">
        <v>1290</v>
      </c>
      <c r="I329" s="441" t="s">
        <v>1291</v>
      </c>
      <c r="J329" s="441" t="b">
        <f t="shared" si="9"/>
        <v>1</v>
      </c>
    </row>
    <row r="330" spans="1:10" hidden="1" x14ac:dyDescent="0.25">
      <c r="A330" s="441" t="str">
        <f t="shared" si="8"/>
        <v>Residential_Building Shell_Air Sealing (Electric Heat)_LM</v>
      </c>
      <c r="B330" t="s">
        <v>1095</v>
      </c>
      <c r="C330" t="s">
        <v>1099</v>
      </c>
      <c r="D330" t="s">
        <v>1287</v>
      </c>
      <c r="E330" s="444" t="s">
        <v>1220</v>
      </c>
      <c r="F330" s="454">
        <v>3.7</v>
      </c>
      <c r="G330" s="441" t="s">
        <v>1301</v>
      </c>
      <c r="H330" s="441" t="s">
        <v>1290</v>
      </c>
      <c r="I330" s="441" t="s">
        <v>1291</v>
      </c>
      <c r="J330" s="441" t="b">
        <f t="shared" si="9"/>
        <v>0</v>
      </c>
    </row>
    <row r="331" spans="1:10" hidden="1" x14ac:dyDescent="0.25">
      <c r="A331" s="441" t="str">
        <f t="shared" si="8"/>
        <v>Residential_Building Shell_Air Sealing (Electric Heat)_ADJAirSealingCool</v>
      </c>
      <c r="B331" t="s">
        <v>1095</v>
      </c>
      <c r="C331" t="s">
        <v>1099</v>
      </c>
      <c r="D331" t="s">
        <v>1287</v>
      </c>
      <c r="E331" s="444" t="s">
        <v>1302</v>
      </c>
      <c r="F331" s="464">
        <v>1.1399999999999999</v>
      </c>
      <c r="G331" s="441" t="s">
        <v>1303</v>
      </c>
      <c r="H331" s="441" t="s">
        <v>1290</v>
      </c>
      <c r="I331" s="441" t="s">
        <v>1291</v>
      </c>
      <c r="J331" s="441" t="b">
        <f t="shared" si="9"/>
        <v>0</v>
      </c>
    </row>
    <row r="332" spans="1:10" hidden="1" x14ac:dyDescent="0.25">
      <c r="A332" s="441" t="str">
        <f t="shared" si="8"/>
        <v>Residential_Building Shell_Air Sealing (Electric Heat)_IENetCorrection</v>
      </c>
      <c r="B332" t="s">
        <v>1095</v>
      </c>
      <c r="C332" t="s">
        <v>1099</v>
      </c>
      <c r="D332" t="s">
        <v>1287</v>
      </c>
      <c r="E332" s="444" t="s">
        <v>1304</v>
      </c>
      <c r="F332" s="464">
        <f>IF([18]Dashboard_FS!$K$20="Yes",110%,100%)</f>
        <v>1.1000000000000001</v>
      </c>
      <c r="H332" s="441" t="s">
        <v>1290</v>
      </c>
      <c r="I332" s="441" t="s">
        <v>1291</v>
      </c>
      <c r="J332" s="441" t="b">
        <f t="shared" si="9"/>
        <v>1</v>
      </c>
    </row>
    <row r="333" spans="1:10" hidden="1" x14ac:dyDescent="0.25">
      <c r="A333" s="441" t="str">
        <f t="shared" si="8"/>
        <v>Residential_Building Shell_Air Sealing (Electric Heat)_%Cool</v>
      </c>
      <c r="B333" t="s">
        <v>1095</v>
      </c>
      <c r="C333" t="s">
        <v>1099</v>
      </c>
      <c r="D333" t="s">
        <v>1287</v>
      </c>
      <c r="E333" s="444" t="s">
        <v>1272</v>
      </c>
      <c r="F333" s="454">
        <v>1</v>
      </c>
      <c r="H333" s="441" t="s">
        <v>1290</v>
      </c>
      <c r="I333" s="441" t="s">
        <v>1291</v>
      </c>
      <c r="J333" s="441" t="b">
        <f t="shared" si="9"/>
        <v>0</v>
      </c>
    </row>
    <row r="334" spans="1:10" hidden="1" x14ac:dyDescent="0.25">
      <c r="A334" s="441" t="str">
        <f t="shared" si="8"/>
        <v>Residential_Building Shell_Air Sealing (Electric Heat)_Delta_kWh_cooling</v>
      </c>
      <c r="B334" t="s">
        <v>1095</v>
      </c>
      <c r="C334" t="s">
        <v>1099</v>
      </c>
      <c r="D334" t="s">
        <v>1287</v>
      </c>
      <c r="E334" s="442" t="s">
        <v>1305</v>
      </c>
      <c r="F334" s="453" t="e">
        <f xml:space="preserve"> ((((F319 - F320) / F321) * F322 * F323 * F324 * F325 * F326) / (F327 * F328) * F330 * F331) * F332 * F333</f>
        <v>#DIV/0!</v>
      </c>
      <c r="H334" s="441" t="s">
        <v>1290</v>
      </c>
      <c r="I334" s="441" t="s">
        <v>1291</v>
      </c>
      <c r="J334" s="441" t="b">
        <f t="shared" si="9"/>
        <v>1</v>
      </c>
    </row>
    <row r="335" spans="1:10" hidden="1" x14ac:dyDescent="0.25">
      <c r="A335" s="441" t="str">
        <f t="shared" si="8"/>
        <v>Residential_Building Shell_Air Sealing (Electric Heat)_Delta_kWh_cooling_Mid-Life_Adj</v>
      </c>
      <c r="B335" t="s">
        <v>1095</v>
      </c>
      <c r="C335" t="s">
        <v>1099</v>
      </c>
      <c r="D335" t="s">
        <v>1287</v>
      </c>
      <c r="E335" s="442" t="s">
        <v>1306</v>
      </c>
      <c r="F335" s="453" t="e">
        <f xml:space="preserve"> ((((F319 - F320) / F321) * F322 * F323 * F324 * F325 * F326) / (F327 * F329) * F330 * F331) * F332 * F333</f>
        <v>#DIV/0!</v>
      </c>
      <c r="H335" s="441" t="s">
        <v>1290</v>
      </c>
      <c r="I335" s="441" t="s">
        <v>1291</v>
      </c>
      <c r="J335" s="441" t="b">
        <f t="shared" si="9"/>
        <v>1</v>
      </c>
    </row>
    <row r="336" spans="1:10" hidden="1" x14ac:dyDescent="0.25">
      <c r="A336" s="441" t="str">
        <f t="shared" si="8"/>
        <v>Residential_Building Shell_Air Sealing (Electric Heat)_CFM50_existing</v>
      </c>
      <c r="B336" t="s">
        <v>1095</v>
      </c>
      <c r="C336" t="s">
        <v>1099</v>
      </c>
      <c r="D336" t="s">
        <v>1287</v>
      </c>
      <c r="E336" s="442" t="s">
        <v>1288</v>
      </c>
      <c r="F336" s="453">
        <f>[18]Dashboard_FS!$O$3</f>
        <v>0</v>
      </c>
      <c r="G336" s="441" t="s">
        <v>1289</v>
      </c>
      <c r="H336" s="441" t="s">
        <v>1290</v>
      </c>
      <c r="I336" s="441" t="s">
        <v>1291</v>
      </c>
      <c r="J336" s="441" t="b">
        <f t="shared" si="9"/>
        <v>1</v>
      </c>
    </row>
    <row r="337" spans="1:10" hidden="1" x14ac:dyDescent="0.25">
      <c r="A337" s="441" t="str">
        <f t="shared" si="8"/>
        <v>Residential_Building Shell_Air Sealing (Electric Heat)_CFM50_new</v>
      </c>
      <c r="B337" t="s">
        <v>1095</v>
      </c>
      <c r="C337" t="s">
        <v>1099</v>
      </c>
      <c r="D337" t="s">
        <v>1287</v>
      </c>
      <c r="E337" s="444" t="s">
        <v>1292</v>
      </c>
      <c r="F337" s="454">
        <v>0</v>
      </c>
      <c r="G337" s="441" t="s">
        <v>1293</v>
      </c>
      <c r="H337" s="441" t="s">
        <v>1290</v>
      </c>
      <c r="I337" s="441" t="s">
        <v>1291</v>
      </c>
      <c r="J337" s="441" t="b">
        <f t="shared" si="9"/>
        <v>0</v>
      </c>
    </row>
    <row r="338" spans="1:10" hidden="1" x14ac:dyDescent="0.25">
      <c r="A338" s="441" t="str">
        <f t="shared" si="8"/>
        <v>Residential_Building Shell_Air Sealing (Electric Heat)_N_heat</v>
      </c>
      <c r="B338" t="s">
        <v>1095</v>
      </c>
      <c r="C338" t="s">
        <v>1099</v>
      </c>
      <c r="D338" t="s">
        <v>1287</v>
      </c>
      <c r="E338" s="444" t="s">
        <v>1307</v>
      </c>
      <c r="F338" s="454">
        <v>21.5</v>
      </c>
      <c r="G338" s="441" t="s">
        <v>1295</v>
      </c>
      <c r="H338" s="441" t="s">
        <v>1290</v>
      </c>
      <c r="I338" s="441" t="s">
        <v>1291</v>
      </c>
      <c r="J338" s="441" t="b">
        <f t="shared" si="9"/>
        <v>0</v>
      </c>
    </row>
    <row r="339" spans="1:10" hidden="1" x14ac:dyDescent="0.25">
      <c r="A339" s="441" t="str">
        <f t="shared" si="8"/>
        <v>Residential_Building Shell_Air Sealing (Electric Heat)_60</v>
      </c>
      <c r="B339" t="s">
        <v>1095</v>
      </c>
      <c r="C339" t="s">
        <v>1099</v>
      </c>
      <c r="D339" t="s">
        <v>1287</v>
      </c>
      <c r="E339" s="444">
        <v>60</v>
      </c>
      <c r="F339" s="454">
        <v>60</v>
      </c>
      <c r="H339" s="441" t="s">
        <v>1290</v>
      </c>
      <c r="I339" s="441" t="s">
        <v>1291</v>
      </c>
      <c r="J339" s="441" t="b">
        <f t="shared" si="9"/>
        <v>0</v>
      </c>
    </row>
    <row r="340" spans="1:10" hidden="1" x14ac:dyDescent="0.25">
      <c r="A340" s="441" t="str">
        <f t="shared" si="8"/>
        <v>Residential_Building Shell_Air Sealing (Electric Heat)_24</v>
      </c>
      <c r="B340" t="s">
        <v>1095</v>
      </c>
      <c r="C340" t="s">
        <v>1099</v>
      </c>
      <c r="D340" t="s">
        <v>1287</v>
      </c>
      <c r="E340" s="444">
        <v>24</v>
      </c>
      <c r="F340" s="454">
        <v>24</v>
      </c>
      <c r="H340" s="441" t="s">
        <v>1290</v>
      </c>
      <c r="I340" s="441" t="s">
        <v>1291</v>
      </c>
      <c r="J340" s="441" t="b">
        <f t="shared" si="9"/>
        <v>0</v>
      </c>
    </row>
    <row r="341" spans="1:10" hidden="1" x14ac:dyDescent="0.25">
      <c r="A341" s="441" t="str">
        <f t="shared" si="8"/>
        <v>Residential_Building Shell_Air Sealing (Electric Heat)_HDD</v>
      </c>
      <c r="B341" t="s">
        <v>1095</v>
      </c>
      <c r="C341" t="s">
        <v>1099</v>
      </c>
      <c r="D341" t="s">
        <v>1287</v>
      </c>
      <c r="E341" s="444" t="s">
        <v>1308</v>
      </c>
      <c r="F341" s="464">
        <f>INDEX('[18]CZ Inputs'!G:G,MATCH(A341&amp;"_"&amp;[18]Dashboard_EE!$K$3,'[18]CZ Inputs'!A:A,0))</f>
        <v>4266</v>
      </c>
      <c r="G341" s="441" t="s">
        <v>1297</v>
      </c>
      <c r="H341" s="441" t="s">
        <v>1290</v>
      </c>
      <c r="I341" s="441" t="s">
        <v>1291</v>
      </c>
      <c r="J341" s="441" t="b">
        <f t="shared" si="9"/>
        <v>1</v>
      </c>
    </row>
    <row r="342" spans="1:10" hidden="1" x14ac:dyDescent="0.25">
      <c r="A342" s="441" t="str">
        <f t="shared" si="8"/>
        <v>Residential_Building Shell_Air Sealing (Electric Heat)_0.018</v>
      </c>
      <c r="B342" t="s">
        <v>1095</v>
      </c>
      <c r="C342" t="s">
        <v>1099</v>
      </c>
      <c r="D342" t="s">
        <v>1287</v>
      </c>
      <c r="E342" s="444">
        <v>1.7999999999999999E-2</v>
      </c>
      <c r="F342" s="454">
        <v>1.7999999999999999E-2</v>
      </c>
      <c r="H342" s="441" t="s">
        <v>1290</v>
      </c>
      <c r="I342" s="441" t="s">
        <v>1291</v>
      </c>
      <c r="J342" s="441" t="b">
        <f t="shared" si="9"/>
        <v>0</v>
      </c>
    </row>
    <row r="343" spans="1:10" hidden="1" x14ac:dyDescent="0.25">
      <c r="A343" s="441" t="str">
        <f t="shared" si="8"/>
        <v>Residential_Building Shell_Air Sealing (Electric Heat)_ηHeat</v>
      </c>
      <c r="B343" t="s">
        <v>1095</v>
      </c>
      <c r="C343" t="s">
        <v>1099</v>
      </c>
      <c r="D343" t="s">
        <v>1287</v>
      </c>
      <c r="E343" s="442" t="s">
        <v>1309</v>
      </c>
      <c r="F343" s="453">
        <f>[18]Dashboard_FS!$K$6</f>
        <v>0</v>
      </c>
      <c r="G343" s="441" t="s">
        <v>1116</v>
      </c>
      <c r="H343" s="441" t="s">
        <v>1290</v>
      </c>
      <c r="I343" s="441" t="s">
        <v>1291</v>
      </c>
      <c r="J343" s="441" t="b">
        <f t="shared" si="9"/>
        <v>1</v>
      </c>
    </row>
    <row r="344" spans="1:10" hidden="1" x14ac:dyDescent="0.25">
      <c r="A344" s="441" t="str">
        <f t="shared" si="8"/>
        <v>Residential_Building Shell_Air Sealing (Electric Heat)_ηHeat_Mid-Life_Adj</v>
      </c>
      <c r="B344" t="s">
        <v>1095</v>
      </c>
      <c r="C344" t="s">
        <v>1099</v>
      </c>
      <c r="D344" t="s">
        <v>1287</v>
      </c>
      <c r="E344" s="442" t="s">
        <v>1310</v>
      </c>
      <c r="F344" s="453">
        <f>[18]Dashboard_FS!$K$6</f>
        <v>0</v>
      </c>
      <c r="G344" s="441" t="s">
        <v>1116</v>
      </c>
      <c r="H344" s="441" t="s">
        <v>1290</v>
      </c>
      <c r="I344" s="441" t="s">
        <v>1291</v>
      </c>
      <c r="J344" s="441" t="b">
        <f t="shared" si="9"/>
        <v>1</v>
      </c>
    </row>
    <row r="345" spans="1:10" hidden="1" x14ac:dyDescent="0.25">
      <c r="A345" s="441" t="str">
        <f t="shared" si="8"/>
        <v>Residential_Building Shell_Air Sealing (Electric Heat)_3412</v>
      </c>
      <c r="B345" t="s">
        <v>1095</v>
      </c>
      <c r="C345" t="s">
        <v>1099</v>
      </c>
      <c r="D345" t="s">
        <v>1287</v>
      </c>
      <c r="E345" s="444">
        <v>3412</v>
      </c>
      <c r="F345" s="454">
        <v>3412</v>
      </c>
      <c r="H345" s="441" t="s">
        <v>1290</v>
      </c>
      <c r="I345" s="441" t="s">
        <v>1291</v>
      </c>
      <c r="J345" s="441" t="b">
        <f t="shared" si="9"/>
        <v>0</v>
      </c>
    </row>
    <row r="346" spans="1:10" hidden="1" x14ac:dyDescent="0.25">
      <c r="A346" s="441" t="str">
        <f t="shared" si="8"/>
        <v>Residential_Building Shell_Air Sealing (Electric Heat)_%ElectricHeat</v>
      </c>
      <c r="B346" t="s">
        <v>1095</v>
      </c>
      <c r="C346" t="s">
        <v>1099</v>
      </c>
      <c r="D346" t="s">
        <v>1287</v>
      </c>
      <c r="E346" s="444" t="s">
        <v>1277</v>
      </c>
      <c r="F346" s="454">
        <v>1</v>
      </c>
      <c r="G346" s="441" t="s">
        <v>1311</v>
      </c>
      <c r="H346" s="441" t="s">
        <v>1290</v>
      </c>
      <c r="I346" s="441" t="s">
        <v>1291</v>
      </c>
      <c r="J346" s="441" t="b">
        <f t="shared" si="9"/>
        <v>0</v>
      </c>
    </row>
    <row r="347" spans="1:10" hidden="1" x14ac:dyDescent="0.25">
      <c r="A347" s="441" t="str">
        <f t="shared" si="8"/>
        <v>Residential_Building Shell_Air Sealing (Electric Heat)_Delta_kWh_heatingElectric</v>
      </c>
      <c r="B347" t="s">
        <v>1095</v>
      </c>
      <c r="C347" t="s">
        <v>1099</v>
      </c>
      <c r="D347" t="s">
        <v>1287</v>
      </c>
      <c r="E347" s="442" t="s">
        <v>1312</v>
      </c>
      <c r="F347" s="448" t="e">
        <f xml:space="preserve"> ((((F336 - F337) / F338) * F339 * F340 * F341 * F342) / (F343 * F345)) * F346</f>
        <v>#DIV/0!</v>
      </c>
      <c r="H347" s="441" t="s">
        <v>1290</v>
      </c>
      <c r="I347" s="441" t="s">
        <v>1291</v>
      </c>
      <c r="J347" s="441" t="b">
        <f t="shared" si="9"/>
        <v>1</v>
      </c>
    </row>
    <row r="348" spans="1:10" hidden="1" x14ac:dyDescent="0.25">
      <c r="A348" s="441" t="str">
        <f t="shared" si="8"/>
        <v>Residential_Building Shell_Air Sealing (Electric Heat)_Delta_kWh_heatingElectric_Mid-Life_Adj</v>
      </c>
      <c r="B348" t="s">
        <v>1095</v>
      </c>
      <c r="C348" t="s">
        <v>1099</v>
      </c>
      <c r="D348" t="s">
        <v>1287</v>
      </c>
      <c r="E348" s="442" t="s">
        <v>1313</v>
      </c>
      <c r="F348" s="448" t="e">
        <f xml:space="preserve"> ((((F336 - F337) / F338) * F339 * F340 * F341 * F342) / (F344 * F345)) * F346</f>
        <v>#DIV/0!</v>
      </c>
      <c r="H348" s="441" t="s">
        <v>1290</v>
      </c>
      <c r="I348" s="441" t="s">
        <v>1291</v>
      </c>
      <c r="J348" s="441" t="b">
        <f t="shared" si="9"/>
        <v>1</v>
      </c>
    </row>
    <row r="349" spans="1:10" hidden="1" x14ac:dyDescent="0.25">
      <c r="A349" s="441" t="str">
        <f t="shared" si="8"/>
        <v>Residential_Building Shell_Air Sealing (Electric Heat)_Fe</v>
      </c>
      <c r="B349" t="s">
        <v>1095</v>
      </c>
      <c r="C349" t="s">
        <v>1099</v>
      </c>
      <c r="D349" t="s">
        <v>1287</v>
      </c>
      <c r="E349" s="444" t="s">
        <v>1127</v>
      </c>
      <c r="F349" s="465">
        <v>3.1399999999999997E-2</v>
      </c>
      <c r="H349" s="441" t="s">
        <v>1290</v>
      </c>
      <c r="I349" s="441" t="s">
        <v>1291</v>
      </c>
      <c r="J349" s="441" t="b">
        <f t="shared" si="9"/>
        <v>0</v>
      </c>
    </row>
    <row r="350" spans="1:10" hidden="1" x14ac:dyDescent="0.25">
      <c r="A350" s="441" t="str">
        <f t="shared" si="8"/>
        <v>Residential_Building Shell_Air Sealing (Electric Heat)_29.3</v>
      </c>
      <c r="B350" t="s">
        <v>1095</v>
      </c>
      <c r="C350" t="s">
        <v>1099</v>
      </c>
      <c r="D350" t="s">
        <v>1287</v>
      </c>
      <c r="E350" s="444">
        <v>29.3</v>
      </c>
      <c r="F350" s="465">
        <v>29.3</v>
      </c>
      <c r="H350" s="441" t="s">
        <v>1290</v>
      </c>
      <c r="I350" s="441" t="s">
        <v>1291</v>
      </c>
      <c r="J350" s="441" t="b">
        <f t="shared" si="9"/>
        <v>0</v>
      </c>
    </row>
    <row r="351" spans="1:10" hidden="1" x14ac:dyDescent="0.25">
      <c r="A351" s="441" t="str">
        <f t="shared" si="8"/>
        <v>Residential_Building Shell_Air Sealing (Electric Heat)_ADJAirSealingHeatFan</v>
      </c>
      <c r="B351" t="s">
        <v>1095</v>
      </c>
      <c r="C351" t="s">
        <v>1099</v>
      </c>
      <c r="D351" t="s">
        <v>1287</v>
      </c>
      <c r="E351" s="444" t="s">
        <v>1314</v>
      </c>
      <c r="F351" s="466">
        <v>1.1299999999999999</v>
      </c>
      <c r="G351" s="441" t="s">
        <v>1303</v>
      </c>
      <c r="H351" s="441" t="s">
        <v>1290</v>
      </c>
      <c r="I351" s="441" t="s">
        <v>1291</v>
      </c>
      <c r="J351" s="441" t="b">
        <f t="shared" si="9"/>
        <v>0</v>
      </c>
    </row>
    <row r="352" spans="1:10" hidden="1" x14ac:dyDescent="0.25">
      <c r="A352" s="441" t="str">
        <f t="shared" si="8"/>
        <v>Residential_Building Shell_Air Sealing (Electric Heat)_IENetCorrection</v>
      </c>
      <c r="B352" t="s">
        <v>1095</v>
      </c>
      <c r="C352" t="s">
        <v>1099</v>
      </c>
      <c r="D352" t="s">
        <v>1287</v>
      </c>
      <c r="E352" s="444" t="s">
        <v>1304</v>
      </c>
      <c r="F352" s="464">
        <f>IF([18]Dashboard_FS!$K$20="Yes",110%,100%)</f>
        <v>1.1000000000000001</v>
      </c>
      <c r="H352" s="441" t="s">
        <v>1290</v>
      </c>
      <c r="I352" s="441" t="s">
        <v>1291</v>
      </c>
      <c r="J352" s="441" t="b">
        <f t="shared" si="9"/>
        <v>1</v>
      </c>
    </row>
    <row r="353" spans="1:10" hidden="1" x14ac:dyDescent="0.25">
      <c r="A353" s="441" t="str">
        <f t="shared" si="8"/>
        <v>Residential_Building Shell_Air Sealing (Electric Heat)_Delta_kWh_heatingGas</v>
      </c>
      <c r="B353" t="s">
        <v>1095</v>
      </c>
      <c r="C353" t="s">
        <v>1099</v>
      </c>
      <c r="D353" t="s">
        <v>1287</v>
      </c>
      <c r="E353" s="442" t="s">
        <v>1315</v>
      </c>
      <c r="F353" s="448">
        <f xml:space="preserve"> F377 * F349 * F350 * F351 * F352</f>
        <v>0</v>
      </c>
      <c r="H353" s="441" t="s">
        <v>1290</v>
      </c>
      <c r="I353" s="441" t="s">
        <v>1291</v>
      </c>
      <c r="J353" s="441" t="b">
        <f t="shared" si="9"/>
        <v>1</v>
      </c>
    </row>
    <row r="354" spans="1:10" hidden="1" x14ac:dyDescent="0.25">
      <c r="A354" s="441" t="str">
        <f t="shared" si="8"/>
        <v>Residential_Building Shell_Air Sealing (Electric Heat)_Delta_kWh_heatingGas_Mid-Life_Adj</v>
      </c>
      <c r="B354" t="s">
        <v>1095</v>
      </c>
      <c r="C354" t="s">
        <v>1099</v>
      </c>
      <c r="D354" t="s">
        <v>1287</v>
      </c>
      <c r="E354" s="442" t="s">
        <v>1316</v>
      </c>
      <c r="F354" s="448">
        <f xml:space="preserve"> F378 * F349 * F350 * F351 * F352</f>
        <v>0</v>
      </c>
      <c r="H354" s="441" t="s">
        <v>1290</v>
      </c>
      <c r="I354" s="441" t="s">
        <v>1291</v>
      </c>
      <c r="J354" s="441" t="b">
        <f t="shared" si="9"/>
        <v>1</v>
      </c>
    </row>
    <row r="355" spans="1:10" hidden="1" x14ac:dyDescent="0.25">
      <c r="A355" s="441" t="str">
        <f t="shared" si="8"/>
        <v>Residential_Building Shell_Air Sealing (Electric Heat)_FLH_cooling</v>
      </c>
      <c r="B355" t="s">
        <v>1095</v>
      </c>
      <c r="C355" t="s">
        <v>1099</v>
      </c>
      <c r="D355" t="s">
        <v>1287</v>
      </c>
      <c r="E355" s="444" t="s">
        <v>1317</v>
      </c>
      <c r="F355" s="464">
        <f>INDEX('[18]CZ Inputs'!G:G,MATCH(A355&amp;"_"&amp;[18]Dashboard_EE!$K$3,'[18]CZ Inputs'!A:A,0))</f>
        <v>779</v>
      </c>
      <c r="G355" s="441" t="s">
        <v>1297</v>
      </c>
      <c r="H355" s="441" t="s">
        <v>1290</v>
      </c>
      <c r="I355" s="441" t="s">
        <v>1291</v>
      </c>
      <c r="J355" s="441" t="b">
        <f t="shared" si="9"/>
        <v>1</v>
      </c>
    </row>
    <row r="356" spans="1:10" hidden="1" x14ac:dyDescent="0.25">
      <c r="A356" s="441" t="str">
        <f t="shared" si="8"/>
        <v>Residential_Building Shell_Air Sealing (Electric Heat)_CF</v>
      </c>
      <c r="B356" t="s">
        <v>1095</v>
      </c>
      <c r="C356" t="s">
        <v>1099</v>
      </c>
      <c r="D356" t="s">
        <v>1287</v>
      </c>
      <c r="E356" s="444" t="s">
        <v>1153</v>
      </c>
      <c r="F356" s="454">
        <v>0.68</v>
      </c>
      <c r="G356" s="441" t="s">
        <v>1195</v>
      </c>
      <c r="H356" s="441" t="s">
        <v>1290</v>
      </c>
      <c r="I356" s="441" t="s">
        <v>1291</v>
      </c>
      <c r="J356" s="441" t="b">
        <f t="shared" si="9"/>
        <v>0</v>
      </c>
    </row>
    <row r="357" spans="1:10" hidden="1" x14ac:dyDescent="0.25">
      <c r="A357" s="441" t="str">
        <f t="shared" si="8"/>
        <v>Residential_Building Shell_Air Sealing (Electric Heat)_Delta_kW</v>
      </c>
      <c r="B357" t="s">
        <v>1095</v>
      </c>
      <c r="C357" t="s">
        <v>1099</v>
      </c>
      <c r="D357" t="s">
        <v>1287</v>
      </c>
      <c r="E357" s="442" t="s">
        <v>1155</v>
      </c>
      <c r="F357" s="453" t="e">
        <f>(F334/F355)*F356</f>
        <v>#DIV/0!</v>
      </c>
      <c r="H357" s="441" t="s">
        <v>1290</v>
      </c>
      <c r="I357" s="441" t="s">
        <v>1291</v>
      </c>
      <c r="J357" s="441" t="b">
        <f t="shared" si="9"/>
        <v>1</v>
      </c>
    </row>
    <row r="358" spans="1:10" hidden="1" x14ac:dyDescent="0.25">
      <c r="A358" s="441" t="str">
        <f t="shared" si="8"/>
        <v>Residential_Building Shell_Air Sealing (Electric Heat)_Delta_kW_Mid-Life_Adj</v>
      </c>
      <c r="B358" t="s">
        <v>1095</v>
      </c>
      <c r="C358" t="s">
        <v>1099</v>
      </c>
      <c r="D358" t="s">
        <v>1287</v>
      </c>
      <c r="E358" s="442" t="s">
        <v>1318</v>
      </c>
      <c r="F358" s="453" t="e">
        <f>(F335/F355)*F356</f>
        <v>#DIV/0!</v>
      </c>
      <c r="H358" s="441" t="s">
        <v>1290</v>
      </c>
      <c r="I358" s="441" t="s">
        <v>1291</v>
      </c>
      <c r="J358" s="441" t="b">
        <f t="shared" si="9"/>
        <v>1</v>
      </c>
    </row>
    <row r="359" spans="1:10" hidden="1" x14ac:dyDescent="0.25">
      <c r="A359" s="441" t="str">
        <f t="shared" si="8"/>
        <v>Residential_Building Shell_Air Sealing (Electric Heat)_CFM50_existing</v>
      </c>
      <c r="B359" t="s">
        <v>1095</v>
      </c>
      <c r="C359" t="s">
        <v>1099</v>
      </c>
      <c r="D359" t="s">
        <v>1287</v>
      </c>
      <c r="E359" s="442" t="s">
        <v>1288</v>
      </c>
      <c r="F359" s="453">
        <f>[18]Dashboard_FS!$O$3</f>
        <v>0</v>
      </c>
      <c r="G359" s="441" t="s">
        <v>1289</v>
      </c>
      <c r="H359" s="441" t="s">
        <v>1290</v>
      </c>
      <c r="I359" s="441" t="s">
        <v>1291</v>
      </c>
      <c r="J359" s="441" t="b">
        <f t="shared" si="9"/>
        <v>1</v>
      </c>
    </row>
    <row r="360" spans="1:10" hidden="1" x14ac:dyDescent="0.25">
      <c r="A360" s="441" t="str">
        <f t="shared" si="8"/>
        <v>Residential_Building Shell_Air Sealing (Electric Heat)_CFM50_new</v>
      </c>
      <c r="B360" t="s">
        <v>1095</v>
      </c>
      <c r="C360" t="s">
        <v>1099</v>
      </c>
      <c r="D360" t="s">
        <v>1287</v>
      </c>
      <c r="E360" s="444" t="s">
        <v>1292</v>
      </c>
      <c r="F360" s="454">
        <v>0</v>
      </c>
      <c r="G360" s="441" t="s">
        <v>1293</v>
      </c>
      <c r="H360" s="441" t="s">
        <v>1290</v>
      </c>
      <c r="I360" s="441" t="s">
        <v>1291</v>
      </c>
      <c r="J360" s="441" t="b">
        <f t="shared" si="9"/>
        <v>0</v>
      </c>
    </row>
    <row r="361" spans="1:10" hidden="1" x14ac:dyDescent="0.25">
      <c r="A361" s="441" t="str">
        <f t="shared" si="8"/>
        <v>Residential_Building Shell_Air Sealing (Electric Heat)_N_heat</v>
      </c>
      <c r="B361" t="s">
        <v>1095</v>
      </c>
      <c r="C361" t="s">
        <v>1099</v>
      </c>
      <c r="D361" t="s">
        <v>1287</v>
      </c>
      <c r="E361" s="444" t="s">
        <v>1307</v>
      </c>
      <c r="F361" s="454">
        <v>21.5</v>
      </c>
      <c r="G361" s="441" t="s">
        <v>1295</v>
      </c>
      <c r="H361" s="441" t="s">
        <v>1290</v>
      </c>
      <c r="I361" s="441" t="s">
        <v>1291</v>
      </c>
      <c r="J361" s="441" t="b">
        <f t="shared" si="9"/>
        <v>0</v>
      </c>
    </row>
    <row r="362" spans="1:10" hidden="1" x14ac:dyDescent="0.25">
      <c r="A362" s="441" t="str">
        <f t="shared" si="8"/>
        <v>Residential_Building Shell_Air Sealing (Electric Heat)_60</v>
      </c>
      <c r="B362" t="s">
        <v>1095</v>
      </c>
      <c r="C362" t="s">
        <v>1099</v>
      </c>
      <c r="D362" t="s">
        <v>1287</v>
      </c>
      <c r="E362" s="444">
        <v>60</v>
      </c>
      <c r="F362" s="454">
        <v>60</v>
      </c>
      <c r="H362" s="441" t="s">
        <v>1290</v>
      </c>
      <c r="I362" s="441" t="s">
        <v>1291</v>
      </c>
      <c r="J362" s="441" t="b">
        <f t="shared" si="9"/>
        <v>0</v>
      </c>
    </row>
    <row r="363" spans="1:10" hidden="1" x14ac:dyDescent="0.25">
      <c r="A363" s="441" t="str">
        <f t="shared" si="8"/>
        <v>Residential_Building Shell_Air Sealing (Electric Heat)_24</v>
      </c>
      <c r="B363" t="s">
        <v>1095</v>
      </c>
      <c r="C363" t="s">
        <v>1099</v>
      </c>
      <c r="D363" t="s">
        <v>1287</v>
      </c>
      <c r="E363" s="444">
        <v>24</v>
      </c>
      <c r="F363" s="454">
        <v>24</v>
      </c>
      <c r="H363" s="441" t="s">
        <v>1290</v>
      </c>
      <c r="I363" s="441" t="s">
        <v>1291</v>
      </c>
      <c r="J363" s="441" t="b">
        <f t="shared" si="9"/>
        <v>0</v>
      </c>
    </row>
    <row r="364" spans="1:10" hidden="1" x14ac:dyDescent="0.25">
      <c r="A364" s="441" t="str">
        <f t="shared" si="8"/>
        <v>Residential_Building Shell_Air Sealing (Electric Heat)_HDD</v>
      </c>
      <c r="B364" t="s">
        <v>1095</v>
      </c>
      <c r="C364" t="s">
        <v>1099</v>
      </c>
      <c r="D364" t="s">
        <v>1287</v>
      </c>
      <c r="E364" s="444" t="s">
        <v>1308</v>
      </c>
      <c r="F364" s="464">
        <f>INDEX('[18]CZ Inputs'!G:G,MATCH(A364&amp;"_"&amp;[18]Dashboard_EE!$K$3,'[18]CZ Inputs'!A:A,0))</f>
        <v>4266</v>
      </c>
      <c r="G364" s="441" t="s">
        <v>1297</v>
      </c>
      <c r="H364" s="441" t="s">
        <v>1290</v>
      </c>
      <c r="I364" s="441" t="s">
        <v>1291</v>
      </c>
      <c r="J364" s="441" t="b">
        <f t="shared" si="9"/>
        <v>1</v>
      </c>
    </row>
    <row r="365" spans="1:10" hidden="1" x14ac:dyDescent="0.25">
      <c r="A365" s="441" t="str">
        <f t="shared" si="8"/>
        <v>Residential_Building Shell_Air Sealing (Electric Heat)_0.018</v>
      </c>
      <c r="B365" t="s">
        <v>1095</v>
      </c>
      <c r="C365" t="s">
        <v>1099</v>
      </c>
      <c r="D365" t="s">
        <v>1287</v>
      </c>
      <c r="E365" s="444">
        <v>1.7999999999999999E-2</v>
      </c>
      <c r="F365" s="454">
        <v>1.7999999999999999E-2</v>
      </c>
      <c r="H365" s="441" t="s">
        <v>1290</v>
      </c>
      <c r="I365" s="441" t="s">
        <v>1291</v>
      </c>
      <c r="J365" s="441" t="b">
        <f t="shared" si="9"/>
        <v>0</v>
      </c>
    </row>
    <row r="366" spans="1:10" hidden="1" x14ac:dyDescent="0.25">
      <c r="A366" s="441" t="str">
        <f t="shared" si="8"/>
        <v>Residential_Building Shell_Air Sealing (Electric Heat)_ηHeat</v>
      </c>
      <c r="B366" t="s">
        <v>1095</v>
      </c>
      <c r="C366" t="s">
        <v>1099</v>
      </c>
      <c r="D366" t="s">
        <v>1287</v>
      </c>
      <c r="E366" s="442" t="s">
        <v>1309</v>
      </c>
      <c r="F366" s="453">
        <f>[18]Dashboard_FS!$K$8</f>
        <v>0</v>
      </c>
      <c r="G366" s="441" t="s">
        <v>1116</v>
      </c>
      <c r="H366" s="441" t="s">
        <v>1290</v>
      </c>
      <c r="I366" s="441" t="s">
        <v>1291</v>
      </c>
      <c r="J366" s="441" t="b">
        <f t="shared" si="9"/>
        <v>1</v>
      </c>
    </row>
    <row r="367" spans="1:10" hidden="1" x14ac:dyDescent="0.25">
      <c r="A367" s="441" t="str">
        <f t="shared" si="8"/>
        <v>Residential_Building Shell_Air Sealing (Electric Heat)_ηHeat_Mid-Life_Adj</v>
      </c>
      <c r="B367" t="s">
        <v>1095</v>
      </c>
      <c r="C367" t="s">
        <v>1099</v>
      </c>
      <c r="D367" t="s">
        <v>1287</v>
      </c>
      <c r="E367" s="442" t="s">
        <v>1310</v>
      </c>
      <c r="F367" s="453">
        <f>[18]Dashboard_FS!$K$8</f>
        <v>0</v>
      </c>
      <c r="G367" s="441" t="s">
        <v>1116</v>
      </c>
      <c r="H367" s="441" t="s">
        <v>1290</v>
      </c>
      <c r="I367" s="441" t="s">
        <v>1291</v>
      </c>
      <c r="J367" s="441" t="b">
        <f t="shared" si="9"/>
        <v>1</v>
      </c>
    </row>
    <row r="368" spans="1:10" hidden="1" x14ac:dyDescent="0.25">
      <c r="A368" s="441" t="str">
        <f t="shared" si="8"/>
        <v>Residential_Building Shell_Air Sealing (Electric Heat)_100000</v>
      </c>
      <c r="B368" t="s">
        <v>1095</v>
      </c>
      <c r="C368" t="s">
        <v>1099</v>
      </c>
      <c r="D368" t="s">
        <v>1287</v>
      </c>
      <c r="E368" s="444">
        <v>100000</v>
      </c>
      <c r="F368" s="454">
        <v>100000</v>
      </c>
      <c r="H368" s="441" t="s">
        <v>1290</v>
      </c>
      <c r="I368" s="441" t="s">
        <v>1291</v>
      </c>
      <c r="J368" s="441" t="b">
        <f t="shared" si="9"/>
        <v>0</v>
      </c>
    </row>
    <row r="369" spans="1:10" hidden="1" x14ac:dyDescent="0.25">
      <c r="A369" s="441" t="str">
        <f t="shared" si="8"/>
        <v>Residential_Building Shell_Air Sealing (Electric Heat)_ADJAirSealingGasHeat</v>
      </c>
      <c r="B369" t="s">
        <v>1095</v>
      </c>
      <c r="C369" t="s">
        <v>1099</v>
      </c>
      <c r="D369" t="s">
        <v>1287</v>
      </c>
      <c r="E369" s="444" t="s">
        <v>1319</v>
      </c>
      <c r="F369" s="454">
        <v>0.72</v>
      </c>
      <c r="G369" s="441" t="s">
        <v>1303</v>
      </c>
      <c r="H369" s="441" t="s">
        <v>1290</v>
      </c>
      <c r="I369" s="441" t="s">
        <v>1291</v>
      </c>
      <c r="J369" s="441" t="b">
        <f t="shared" si="9"/>
        <v>0</v>
      </c>
    </row>
    <row r="370" spans="1:10" hidden="1" x14ac:dyDescent="0.25">
      <c r="A370" s="441" t="str">
        <f t="shared" si="8"/>
        <v>Residential_Building Shell_Air Sealing (Electric Heat)_IENetCorrection</v>
      </c>
      <c r="B370" t="s">
        <v>1095</v>
      </c>
      <c r="C370" t="s">
        <v>1099</v>
      </c>
      <c r="D370" t="s">
        <v>1287</v>
      </c>
      <c r="E370" s="444" t="s">
        <v>1304</v>
      </c>
      <c r="F370" s="464">
        <f>IF([18]Dashboard_FS!$K$20="Yes",110%,100%)</f>
        <v>1.1000000000000001</v>
      </c>
      <c r="H370" s="441" t="s">
        <v>1290</v>
      </c>
      <c r="I370" s="441" t="s">
        <v>1291</v>
      </c>
      <c r="J370" s="441" t="b">
        <f t="shared" si="9"/>
        <v>1</v>
      </c>
    </row>
    <row r="371" spans="1:10" hidden="1" x14ac:dyDescent="0.25">
      <c r="A371" s="441" t="str">
        <f t="shared" si="8"/>
        <v>Residential_Building Shell_Air Sealing (Electric Heat)_Delta_therms</v>
      </c>
      <c r="B371" t="s">
        <v>1095</v>
      </c>
      <c r="C371" t="s">
        <v>1099</v>
      </c>
      <c r="D371" t="s">
        <v>1287</v>
      </c>
      <c r="E371" s="442" t="s">
        <v>1320</v>
      </c>
      <c r="F371" s="453" t="e">
        <f xml:space="preserve"> (((F359 - F360) / F361) * F362 * F363 * F364 * F365) / (F366 * F368) * F369 * F370</f>
        <v>#DIV/0!</v>
      </c>
      <c r="H371" s="441" t="s">
        <v>1290</v>
      </c>
      <c r="I371" s="441" t="s">
        <v>1291</v>
      </c>
      <c r="J371" s="441" t="b">
        <f t="shared" si="9"/>
        <v>1</v>
      </c>
    </row>
    <row r="372" spans="1:10" hidden="1" x14ac:dyDescent="0.25">
      <c r="A372" s="441" t="str">
        <f t="shared" si="8"/>
        <v>Residential_Building Shell_Air Sealing (Electric Heat)_Delta_therms_Mid-Life_Adj</v>
      </c>
      <c r="B372" t="s">
        <v>1095</v>
      </c>
      <c r="C372" t="s">
        <v>1099</v>
      </c>
      <c r="D372" t="s">
        <v>1287</v>
      </c>
      <c r="E372" s="442" t="s">
        <v>1321</v>
      </c>
      <c r="F372" s="453" t="e">
        <f xml:space="preserve"> (((F359 - F360) / F361) * F362 * F363 * F364 * F365) / (F367 * F368) * F369 * F370</f>
        <v>#DIV/0!</v>
      </c>
      <c r="H372" s="441" t="s">
        <v>1290</v>
      </c>
      <c r="I372" s="441" t="s">
        <v>1291</v>
      </c>
      <c r="J372" s="441" t="b">
        <f t="shared" si="9"/>
        <v>1</v>
      </c>
    </row>
    <row r="373" spans="1:10" hidden="1" x14ac:dyDescent="0.25">
      <c r="A373" s="441" t="str">
        <f t="shared" si="8"/>
        <v>Residential_Building Shell_Air Sealing (Electric Heat)_Remaining Year kWh</v>
      </c>
      <c r="B373" t="s">
        <v>1095</v>
      </c>
      <c r="C373" t="s">
        <v>1099</v>
      </c>
      <c r="D373" t="s">
        <v>1287</v>
      </c>
      <c r="E373" s="450" t="s">
        <v>1322</v>
      </c>
      <c r="F373" s="456" t="e">
        <f>F334+F347+F353</f>
        <v>#DIV/0!</v>
      </c>
      <c r="H373" s="441" t="s">
        <v>1290</v>
      </c>
      <c r="I373" s="441" t="s">
        <v>1291</v>
      </c>
      <c r="J373" s="441" t="b">
        <f t="shared" si="9"/>
        <v>1</v>
      </c>
    </row>
    <row r="374" spans="1:10" hidden="1" x14ac:dyDescent="0.25">
      <c r="A374" s="441" t="str">
        <f t="shared" si="8"/>
        <v>Residential_Building Shell_Air Sealing (Electric Heat)_kWh Saved per Unit</v>
      </c>
      <c r="B374" t="s">
        <v>1095</v>
      </c>
      <c r="C374" t="s">
        <v>1099</v>
      </c>
      <c r="D374" t="s">
        <v>1287</v>
      </c>
      <c r="E374" s="450" t="s">
        <v>1156</v>
      </c>
      <c r="F374" s="456" t="e">
        <f>F335+F348+F354</f>
        <v>#DIV/0!</v>
      </c>
      <c r="H374" s="441" t="s">
        <v>1290</v>
      </c>
      <c r="I374" s="441" t="s">
        <v>1291</v>
      </c>
      <c r="J374" s="441" t="b">
        <f t="shared" si="9"/>
        <v>1</v>
      </c>
    </row>
    <row r="375" spans="1:10" hidden="1" x14ac:dyDescent="0.25">
      <c r="A375" s="441" t="str">
        <f t="shared" si="8"/>
        <v>Residential_Building Shell_Air Sealing (Electric Heat)_Remaining Year kW</v>
      </c>
      <c r="B375" t="s">
        <v>1095</v>
      </c>
      <c r="C375" t="s">
        <v>1099</v>
      </c>
      <c r="D375" t="s">
        <v>1287</v>
      </c>
      <c r="E375" s="450" t="s">
        <v>1323</v>
      </c>
      <c r="F375" s="456" t="e">
        <f>F357</f>
        <v>#DIV/0!</v>
      </c>
      <c r="H375" s="441" t="s">
        <v>1290</v>
      </c>
      <c r="I375" s="441" t="s">
        <v>1291</v>
      </c>
      <c r="J375" s="441" t="b">
        <f t="shared" si="9"/>
        <v>1</v>
      </c>
    </row>
    <row r="376" spans="1:10" hidden="1" x14ac:dyDescent="0.25">
      <c r="A376" s="441" t="str">
        <f t="shared" ref="A376:A439" si="10">B376&amp;"_"&amp;C376&amp;"_"&amp;D376&amp;"_"&amp;E376</f>
        <v>Residential_Building Shell_Air Sealing (Electric Heat)_Coincident Peak kW Saved per Unit</v>
      </c>
      <c r="B376" t="s">
        <v>1095</v>
      </c>
      <c r="C376" t="s">
        <v>1099</v>
      </c>
      <c r="D376" t="s">
        <v>1287</v>
      </c>
      <c r="E376" s="450" t="s">
        <v>1157</v>
      </c>
      <c r="F376" s="456" t="e">
        <f>F358</f>
        <v>#DIV/0!</v>
      </c>
      <c r="H376" s="441" t="s">
        <v>1290</v>
      </c>
      <c r="I376" s="441" t="s">
        <v>1291</v>
      </c>
      <c r="J376" s="441" t="b">
        <f t="shared" si="9"/>
        <v>1</v>
      </c>
    </row>
    <row r="377" spans="1:10" hidden="1" x14ac:dyDescent="0.25">
      <c r="A377" s="441" t="str">
        <f t="shared" si="10"/>
        <v>Residential_Building Shell_Air Sealing (Electric Heat)_Remaining Year Therms</v>
      </c>
      <c r="B377" t="s">
        <v>1095</v>
      </c>
      <c r="C377" t="s">
        <v>1099</v>
      </c>
      <c r="D377" t="s">
        <v>1287</v>
      </c>
      <c r="E377" s="450" t="s">
        <v>1324</v>
      </c>
      <c r="F377" s="456">
        <v>0</v>
      </c>
      <c r="G377" s="441" t="s">
        <v>1311</v>
      </c>
      <c r="H377" s="441" t="s">
        <v>1290</v>
      </c>
      <c r="I377" s="441" t="s">
        <v>1291</v>
      </c>
      <c r="J377" s="441" t="b">
        <f t="shared" si="9"/>
        <v>0</v>
      </c>
    </row>
    <row r="378" spans="1:10" hidden="1" x14ac:dyDescent="0.25">
      <c r="A378" s="441" t="str">
        <f t="shared" si="10"/>
        <v>Residential_Building Shell_Air Sealing (Electric Heat)_Therms Saved per Unit</v>
      </c>
      <c r="B378" t="s">
        <v>1095</v>
      </c>
      <c r="C378" t="s">
        <v>1099</v>
      </c>
      <c r="D378" t="s">
        <v>1287</v>
      </c>
      <c r="E378" s="450" t="s">
        <v>1251</v>
      </c>
      <c r="F378" s="456">
        <v>0</v>
      </c>
      <c r="G378" s="441" t="s">
        <v>1311</v>
      </c>
      <c r="H378" s="441" t="s">
        <v>1290</v>
      </c>
      <c r="I378" s="441" t="s">
        <v>1291</v>
      </c>
      <c r="J378" s="441" t="b">
        <f t="shared" si="9"/>
        <v>0</v>
      </c>
    </row>
    <row r="379" spans="1:10" hidden="1" x14ac:dyDescent="0.25">
      <c r="A379" s="441" t="str">
        <f t="shared" si="10"/>
        <v>Residential_Building Shell_Air Sealing (Electric Heat)_Remaining Life</v>
      </c>
      <c r="B379" t="s">
        <v>1095</v>
      </c>
      <c r="C379" t="s">
        <v>1099</v>
      </c>
      <c r="D379" t="s">
        <v>1287</v>
      </c>
      <c r="E379" s="450" t="s">
        <v>1325</v>
      </c>
      <c r="F379" s="456">
        <v>10</v>
      </c>
      <c r="H379" s="441" t="s">
        <v>1290</v>
      </c>
      <c r="I379" s="441" t="s">
        <v>1291</v>
      </c>
      <c r="J379" s="441" t="b">
        <f t="shared" si="9"/>
        <v>0</v>
      </c>
    </row>
    <row r="380" spans="1:10" hidden="1" x14ac:dyDescent="0.25">
      <c r="A380" s="441" t="str">
        <f t="shared" si="10"/>
        <v>Residential_Building Shell_Air Sealing (Electric Heat)_Lifetime (years)</v>
      </c>
      <c r="B380" t="s">
        <v>1095</v>
      </c>
      <c r="C380" t="s">
        <v>1099</v>
      </c>
      <c r="D380" t="s">
        <v>1287</v>
      </c>
      <c r="E380" s="450" t="s">
        <v>1160</v>
      </c>
      <c r="F380" s="456">
        <v>20</v>
      </c>
      <c r="H380" s="441" t="s">
        <v>1290</v>
      </c>
      <c r="I380" s="441" t="s">
        <v>1291</v>
      </c>
      <c r="J380" s="441" t="b">
        <f t="shared" si="9"/>
        <v>0</v>
      </c>
    </row>
    <row r="381" spans="1:10" hidden="1" x14ac:dyDescent="0.25">
      <c r="A381" s="441" t="str">
        <f t="shared" si="10"/>
        <v>Residential_Building Shell_Air Sealing (Electric Heat)_Incremental Cost</v>
      </c>
      <c r="B381" t="s">
        <v>1095</v>
      </c>
      <c r="C381" t="s">
        <v>1099</v>
      </c>
      <c r="D381" t="s">
        <v>1287</v>
      </c>
      <c r="E381" s="450" t="s">
        <v>1161</v>
      </c>
      <c r="F381" s="452">
        <f>0.35*F319</f>
        <v>0</v>
      </c>
      <c r="G381" s="441" t="s">
        <v>1326</v>
      </c>
      <c r="H381" s="441" t="s">
        <v>1290</v>
      </c>
      <c r="I381" s="441" t="s">
        <v>1291</v>
      </c>
      <c r="J381" s="441" t="b">
        <f t="shared" si="9"/>
        <v>1</v>
      </c>
    </row>
    <row r="382" spans="1:10" hidden="1" x14ac:dyDescent="0.25">
      <c r="A382" s="441" t="str">
        <f t="shared" si="10"/>
        <v>Residential_Building Shell_Air Sealing (Electric Heat)_BTU Impact_Existing_Fossil Fuel</v>
      </c>
      <c r="B382" t="s">
        <v>1095</v>
      </c>
      <c r="C382" t="s">
        <v>1099</v>
      </c>
      <c r="D382" t="s">
        <v>1287</v>
      </c>
      <c r="E382" s="450" t="s">
        <v>1163</v>
      </c>
      <c r="F382" s="451">
        <v>0</v>
      </c>
      <c r="H382" s="441" t="s">
        <v>1290</v>
      </c>
      <c r="I382" s="441" t="s">
        <v>1291</v>
      </c>
      <c r="J382" s="441" t="b">
        <f t="shared" si="9"/>
        <v>0</v>
      </c>
    </row>
    <row r="383" spans="1:10" hidden="1" x14ac:dyDescent="0.25">
      <c r="A383" s="441" t="str">
        <f t="shared" si="10"/>
        <v>Residential_Building Shell_Air Sealing (Electric Heat)_BTU Impact_Existing_Winter Electricity</v>
      </c>
      <c r="B383" t="s">
        <v>1095</v>
      </c>
      <c r="C383" t="s">
        <v>1099</v>
      </c>
      <c r="D383" t="s">
        <v>1287</v>
      </c>
      <c r="E383" s="450" t="s">
        <v>1164</v>
      </c>
      <c r="F383" s="451">
        <v>0</v>
      </c>
      <c r="H383" s="441" t="s">
        <v>1290</v>
      </c>
      <c r="I383" s="441" t="s">
        <v>1291</v>
      </c>
      <c r="J383" s="441" t="b">
        <f t="shared" si="9"/>
        <v>0</v>
      </c>
    </row>
    <row r="384" spans="1:10" hidden="1" x14ac:dyDescent="0.25">
      <c r="A384" s="441" t="str">
        <f t="shared" si="10"/>
        <v>Residential_Building Shell_Air Sealing (Electric Heat)_BTU Impact_Existing_Summer Electricity</v>
      </c>
      <c r="B384" t="s">
        <v>1095</v>
      </c>
      <c r="C384" t="s">
        <v>1099</v>
      </c>
      <c r="D384" t="s">
        <v>1287</v>
      </c>
      <c r="E384" s="450" t="s">
        <v>1165</v>
      </c>
      <c r="F384" s="451">
        <v>0</v>
      </c>
      <c r="H384" s="441" t="s">
        <v>1290</v>
      </c>
      <c r="I384" s="441" t="s">
        <v>1291</v>
      </c>
      <c r="J384" s="441" t="b">
        <f t="shared" si="9"/>
        <v>0</v>
      </c>
    </row>
    <row r="385" spans="1:10" hidden="1" x14ac:dyDescent="0.25">
      <c r="A385" s="441" t="str">
        <f t="shared" si="10"/>
        <v>Residential_Building Shell_Air Sealing (Electric Heat)_BTU Impact_New_Fossil Fuel</v>
      </c>
      <c r="B385" t="s">
        <v>1095</v>
      </c>
      <c r="C385" t="s">
        <v>1099</v>
      </c>
      <c r="D385" t="s">
        <v>1287</v>
      </c>
      <c r="E385" s="450" t="s">
        <v>1166</v>
      </c>
      <c r="F385" s="451">
        <v>0</v>
      </c>
      <c r="H385" s="441" t="s">
        <v>1290</v>
      </c>
      <c r="I385" s="441" t="s">
        <v>1291</v>
      </c>
      <c r="J385" s="441" t="b">
        <f t="shared" si="9"/>
        <v>0</v>
      </c>
    </row>
    <row r="386" spans="1:10" hidden="1" x14ac:dyDescent="0.25">
      <c r="A386" s="441" t="str">
        <f t="shared" si="10"/>
        <v>Residential_Building Shell_Air Sealing (Electric Heat)_BTU Impact_New_Winter Electricity</v>
      </c>
      <c r="B386" t="s">
        <v>1095</v>
      </c>
      <c r="C386" t="s">
        <v>1099</v>
      </c>
      <c r="D386" t="s">
        <v>1287</v>
      </c>
      <c r="E386" s="450" t="s">
        <v>1167</v>
      </c>
      <c r="F386" s="451" t="e">
        <f>-F347*3412</f>
        <v>#DIV/0!</v>
      </c>
      <c r="H386" s="441" t="s">
        <v>1290</v>
      </c>
      <c r="I386" s="441" t="s">
        <v>1291</v>
      </c>
      <c r="J386" s="441" t="b">
        <f t="shared" si="9"/>
        <v>1</v>
      </c>
    </row>
    <row r="387" spans="1:10" hidden="1" x14ac:dyDescent="0.25">
      <c r="A387" s="441" t="str">
        <f t="shared" si="10"/>
        <v>Residential_Building Shell_Air Sealing (Electric Heat)_BTU Impact_New_Summer Electricity</v>
      </c>
      <c r="B387" t="s">
        <v>1095</v>
      </c>
      <c r="C387" t="s">
        <v>1099</v>
      </c>
      <c r="D387" t="s">
        <v>1287</v>
      </c>
      <c r="E387" s="450" t="s">
        <v>1168</v>
      </c>
      <c r="F387" s="451" t="e">
        <f>-F334*3412</f>
        <v>#DIV/0!</v>
      </c>
      <c r="H387" s="441" t="s">
        <v>1290</v>
      </c>
      <c r="I387" s="441" t="s">
        <v>1291</v>
      </c>
      <c r="J387" s="441" t="b">
        <f t="shared" si="9"/>
        <v>1</v>
      </c>
    </row>
    <row r="388" spans="1:10" hidden="1" x14ac:dyDescent="0.25">
      <c r="A388" s="441" t="str">
        <f t="shared" si="10"/>
        <v>Residential_Building Shell_Air Sealing (Electric Heat)_</v>
      </c>
      <c r="B388" t="s">
        <v>1095</v>
      </c>
      <c r="C388" t="s">
        <v>1099</v>
      </c>
      <c r="D388" t="s">
        <v>1287</v>
      </c>
      <c r="H388" s="441" t="s">
        <v>1290</v>
      </c>
      <c r="I388" s="441" t="s">
        <v>1291</v>
      </c>
      <c r="J388" s="441" t="b">
        <f t="shared" si="9"/>
        <v>0</v>
      </c>
    </row>
    <row r="389" spans="1:10" hidden="1" x14ac:dyDescent="0.25">
      <c r="A389" s="441" t="str">
        <f t="shared" si="10"/>
        <v>Residential_Building Shell_Ceiling/Attic Insulation #1 (Electric Heat)_R_old</v>
      </c>
      <c r="B389" t="s">
        <v>1095</v>
      </c>
      <c r="C389" t="s">
        <v>1099</v>
      </c>
      <c r="D389" t="s">
        <v>1327</v>
      </c>
      <c r="E389" s="444" t="s">
        <v>1328</v>
      </c>
      <c r="F389" s="454">
        <f>[18]Dashboard_FS!$O$15</f>
        <v>0</v>
      </c>
      <c r="G389" s="441" t="s">
        <v>1116</v>
      </c>
      <c r="H389" s="441" t="s">
        <v>1329</v>
      </c>
      <c r="I389" s="441" t="s">
        <v>1330</v>
      </c>
      <c r="J389" s="441" t="b">
        <f t="shared" si="9"/>
        <v>1</v>
      </c>
    </row>
    <row r="390" spans="1:10" hidden="1" x14ac:dyDescent="0.25">
      <c r="A390" s="441" t="str">
        <f t="shared" si="10"/>
        <v>Residential_Building Shell_Ceiling/Attic Insulation #1 (Electric Heat)_R_attic</v>
      </c>
      <c r="B390" t="s">
        <v>1095</v>
      </c>
      <c r="C390" t="s">
        <v>1099</v>
      </c>
      <c r="D390" t="s">
        <v>1327</v>
      </c>
      <c r="E390" s="444" t="s">
        <v>1331</v>
      </c>
      <c r="F390" s="454">
        <f>[18]Dashboard_FS!$P$15</f>
        <v>0</v>
      </c>
      <c r="G390" s="441" t="s">
        <v>1116</v>
      </c>
      <c r="H390" s="441" t="s">
        <v>1329</v>
      </c>
      <c r="I390" s="441" t="s">
        <v>1330</v>
      </c>
      <c r="J390" s="441" t="b">
        <f t="shared" si="9"/>
        <v>1</v>
      </c>
    </row>
    <row r="391" spans="1:10" hidden="1" x14ac:dyDescent="0.25">
      <c r="A391" s="441" t="str">
        <f t="shared" si="10"/>
        <v>Residential_Building Shell_Ceiling/Attic Insulation #1 (Electric Heat)_A_attic</v>
      </c>
      <c r="B391" t="s">
        <v>1095</v>
      </c>
      <c r="C391" t="s">
        <v>1099</v>
      </c>
      <c r="D391" t="s">
        <v>1327</v>
      </c>
      <c r="E391" s="442" t="s">
        <v>1332</v>
      </c>
      <c r="F391" s="453">
        <f>[18]Dashboard_FS!$O$4</f>
        <v>0</v>
      </c>
      <c r="G391" s="441" t="s">
        <v>1116</v>
      </c>
      <c r="H391" s="441" t="s">
        <v>1329</v>
      </c>
      <c r="I391" s="441" t="s">
        <v>1330</v>
      </c>
      <c r="J391" s="441" t="b">
        <f t="shared" si="9"/>
        <v>1</v>
      </c>
    </row>
    <row r="392" spans="1:10" hidden="1" x14ac:dyDescent="0.25">
      <c r="A392" s="441" t="str">
        <f t="shared" si="10"/>
        <v>Residential_Building Shell_Ceiling/Attic Insulation #1 (Electric Heat)_Framing_factor_attic</v>
      </c>
      <c r="B392" t="s">
        <v>1095</v>
      </c>
      <c r="C392" t="s">
        <v>1099</v>
      </c>
      <c r="D392" t="s">
        <v>1327</v>
      </c>
      <c r="E392" s="444" t="s">
        <v>1333</v>
      </c>
      <c r="F392" s="454">
        <v>7.0000000000000007E-2</v>
      </c>
      <c r="H392" s="441" t="s">
        <v>1329</v>
      </c>
      <c r="I392" s="441" t="s">
        <v>1330</v>
      </c>
      <c r="J392" s="441" t="b">
        <f t="shared" ref="J392:J646" si="11">_xlfn.ISFORMULA(F392)</f>
        <v>0</v>
      </c>
    </row>
    <row r="393" spans="1:10" hidden="1" x14ac:dyDescent="0.25">
      <c r="A393" s="441" t="str">
        <f t="shared" si="10"/>
        <v>Residential_Building Shell_Ceiling/Attic Insulation #1 (Electric Heat)_24</v>
      </c>
      <c r="B393" t="s">
        <v>1095</v>
      </c>
      <c r="C393" t="s">
        <v>1099</v>
      </c>
      <c r="D393" t="s">
        <v>1327</v>
      </c>
      <c r="E393" s="444">
        <v>24</v>
      </c>
      <c r="F393" s="454">
        <v>24</v>
      </c>
      <c r="H393" s="441" t="s">
        <v>1329</v>
      </c>
      <c r="I393" s="441" t="s">
        <v>1330</v>
      </c>
      <c r="J393" s="441" t="b">
        <f t="shared" si="11"/>
        <v>0</v>
      </c>
    </row>
    <row r="394" spans="1:10" hidden="1" x14ac:dyDescent="0.25">
      <c r="A394" s="441" t="str">
        <f t="shared" si="10"/>
        <v>Residential_Building Shell_Ceiling/Attic Insulation #1 (Electric Heat)_CDD</v>
      </c>
      <c r="B394" t="s">
        <v>1095</v>
      </c>
      <c r="C394" t="s">
        <v>1099</v>
      </c>
      <c r="D394" t="s">
        <v>1327</v>
      </c>
      <c r="E394" s="444" t="s">
        <v>1296</v>
      </c>
      <c r="F394" s="464">
        <f>INDEX('[18]CZ Inputs'!G:G,MATCH(A394&amp;"_"&amp;[18]Dashboard_EE!$K$3,'[18]CZ Inputs'!A:A,0))</f>
        <v>1183</v>
      </c>
      <c r="G394" s="441" t="s">
        <v>1297</v>
      </c>
      <c r="H394" s="441" t="s">
        <v>1329</v>
      </c>
      <c r="I394" s="441" t="s">
        <v>1330</v>
      </c>
      <c r="J394" s="441" t="b">
        <f t="shared" si="11"/>
        <v>1</v>
      </c>
    </row>
    <row r="395" spans="1:10" hidden="1" x14ac:dyDescent="0.25">
      <c r="A395" s="441" t="str">
        <f t="shared" si="10"/>
        <v>Residential_Building Shell_Ceiling/Attic Insulation #1 (Electric Heat)_DUA</v>
      </c>
      <c r="B395" t="s">
        <v>1095</v>
      </c>
      <c r="C395" t="s">
        <v>1099</v>
      </c>
      <c r="D395" t="s">
        <v>1327</v>
      </c>
      <c r="E395" s="444" t="s">
        <v>1298</v>
      </c>
      <c r="F395" s="454">
        <v>0.75</v>
      </c>
      <c r="H395" s="441" t="s">
        <v>1329</v>
      </c>
      <c r="I395" s="441" t="s">
        <v>1330</v>
      </c>
      <c r="J395" s="441" t="b">
        <f t="shared" si="11"/>
        <v>0</v>
      </c>
    </row>
    <row r="396" spans="1:10" hidden="1" x14ac:dyDescent="0.25">
      <c r="A396" s="441" t="str">
        <f t="shared" si="10"/>
        <v>Residential_Building Shell_Ceiling/Attic Insulation #1 (Electric Heat)_1000</v>
      </c>
      <c r="B396" t="s">
        <v>1095</v>
      </c>
      <c r="C396" t="s">
        <v>1099</v>
      </c>
      <c r="D396" t="s">
        <v>1327</v>
      </c>
      <c r="E396" s="444">
        <v>1000</v>
      </c>
      <c r="F396" s="454">
        <v>1000</v>
      </c>
      <c r="H396" s="441" t="s">
        <v>1329</v>
      </c>
      <c r="I396" s="441" t="s">
        <v>1330</v>
      </c>
      <c r="J396" s="441" t="b">
        <f t="shared" si="11"/>
        <v>0</v>
      </c>
    </row>
    <row r="397" spans="1:10" hidden="1" x14ac:dyDescent="0.25">
      <c r="A397" s="441" t="str">
        <f t="shared" si="10"/>
        <v>Residential_Building Shell_Ceiling/Attic Insulation #1 (Electric Heat)_ηCool</v>
      </c>
      <c r="B397" t="s">
        <v>1095</v>
      </c>
      <c r="C397" t="s">
        <v>1099</v>
      </c>
      <c r="D397" t="s">
        <v>1327</v>
      </c>
      <c r="E397" s="442" t="s">
        <v>1299</v>
      </c>
      <c r="F397" s="453">
        <f>[18]Dashboard_FS!$K$14</f>
        <v>0</v>
      </c>
      <c r="G397" s="441" t="s">
        <v>1116</v>
      </c>
      <c r="H397" s="441" t="s">
        <v>1329</v>
      </c>
      <c r="I397" s="441" t="s">
        <v>1330</v>
      </c>
      <c r="J397" s="441" t="b">
        <f t="shared" si="11"/>
        <v>1</v>
      </c>
    </row>
    <row r="398" spans="1:10" hidden="1" x14ac:dyDescent="0.25">
      <c r="A398" s="441" t="str">
        <f t="shared" si="10"/>
        <v>Residential_Building Shell_Ceiling/Attic Insulation #1 (Electric Heat)_ηCool_Mid-Life_Adj</v>
      </c>
      <c r="B398" t="s">
        <v>1095</v>
      </c>
      <c r="C398" t="s">
        <v>1099</v>
      </c>
      <c r="D398" t="s">
        <v>1327</v>
      </c>
      <c r="E398" s="442" t="s">
        <v>1300</v>
      </c>
      <c r="F398" s="453">
        <f>[18]Dashboard_FS!$K$14</f>
        <v>0</v>
      </c>
      <c r="G398" s="441" t="s">
        <v>1116</v>
      </c>
      <c r="H398" s="441" t="s">
        <v>1329</v>
      </c>
      <c r="I398" s="441" t="s">
        <v>1330</v>
      </c>
      <c r="J398" s="441" t="b">
        <f t="shared" si="11"/>
        <v>1</v>
      </c>
    </row>
    <row r="399" spans="1:10" hidden="1" x14ac:dyDescent="0.25">
      <c r="A399" s="441" t="str">
        <f t="shared" si="10"/>
        <v>Residential_Building Shell_Ceiling/Attic Insulation #1 (Electric Heat)_ADJAtticCool</v>
      </c>
      <c r="B399" t="s">
        <v>1095</v>
      </c>
      <c r="C399" t="s">
        <v>1099</v>
      </c>
      <c r="D399" t="s">
        <v>1327</v>
      </c>
      <c r="E399" s="444" t="s">
        <v>1334</v>
      </c>
      <c r="F399" s="464">
        <v>1.1399999999999999</v>
      </c>
      <c r="H399" s="441" t="s">
        <v>1329</v>
      </c>
      <c r="I399" s="441" t="s">
        <v>1330</v>
      </c>
      <c r="J399" s="441" t="b">
        <f t="shared" si="11"/>
        <v>0</v>
      </c>
    </row>
    <row r="400" spans="1:10" hidden="1" x14ac:dyDescent="0.25">
      <c r="A400" s="441" t="str">
        <f t="shared" si="10"/>
        <v>Residential_Building Shell_Ceiling/Attic Insulation #1 (Electric Heat)_IENetCorrection</v>
      </c>
      <c r="B400" t="s">
        <v>1095</v>
      </c>
      <c r="C400" t="s">
        <v>1099</v>
      </c>
      <c r="D400" t="s">
        <v>1327</v>
      </c>
      <c r="E400" s="444" t="s">
        <v>1304</v>
      </c>
      <c r="F400" s="454">
        <f>IF([18]Dashboard_FS!$K$20="Yes",110%,100%)</f>
        <v>1.1000000000000001</v>
      </c>
      <c r="H400" s="441" t="s">
        <v>1329</v>
      </c>
      <c r="I400" s="441" t="s">
        <v>1330</v>
      </c>
      <c r="J400" s="441" t="b">
        <f t="shared" si="11"/>
        <v>1</v>
      </c>
    </row>
    <row r="401" spans="1:10" hidden="1" x14ac:dyDescent="0.25">
      <c r="A401" s="441" t="str">
        <f t="shared" si="10"/>
        <v>Residential_Building Shell_Ceiling/Attic Insulation #1 (Electric Heat)_%Cool</v>
      </c>
      <c r="B401" t="s">
        <v>1095</v>
      </c>
      <c r="C401" t="s">
        <v>1099</v>
      </c>
      <c r="D401" t="s">
        <v>1327</v>
      </c>
      <c r="E401" s="444" t="s">
        <v>1272</v>
      </c>
      <c r="F401" s="454">
        <v>1</v>
      </c>
      <c r="H401" s="441" t="s">
        <v>1329</v>
      </c>
      <c r="I401" s="441" t="s">
        <v>1330</v>
      </c>
      <c r="J401" s="441" t="b">
        <f t="shared" si="11"/>
        <v>0</v>
      </c>
    </row>
    <row r="402" spans="1:10" hidden="1" x14ac:dyDescent="0.25">
      <c r="A402" s="441" t="str">
        <f t="shared" si="10"/>
        <v>Residential_Building Shell_Ceiling/Attic Insulation #1 (Electric Heat)_Delta_kWh_cooling</v>
      </c>
      <c r="B402" t="s">
        <v>1095</v>
      </c>
      <c r="C402" t="s">
        <v>1099</v>
      </c>
      <c r="D402" t="s">
        <v>1327</v>
      </c>
      <c r="E402" s="442" t="s">
        <v>1305</v>
      </c>
      <c r="F402" s="453" t="e">
        <f>((((1/ F389 - 1/ F390) * F391 * (1 - F392)) * F393 * F394 * F395) / (F396 * F397)) * F399 * F400 * F401</f>
        <v>#DIV/0!</v>
      </c>
      <c r="H402" s="441" t="s">
        <v>1329</v>
      </c>
      <c r="I402" s="441" t="s">
        <v>1330</v>
      </c>
      <c r="J402" s="441" t="b">
        <f t="shared" si="11"/>
        <v>1</v>
      </c>
    </row>
    <row r="403" spans="1:10" hidden="1" x14ac:dyDescent="0.25">
      <c r="A403" s="441" t="str">
        <f t="shared" si="10"/>
        <v>Residential_Building Shell_Ceiling/Attic Insulation #1 (Electric Heat)_Delta_kWh_cooling_Mid-Life_Adj</v>
      </c>
      <c r="B403" t="s">
        <v>1095</v>
      </c>
      <c r="C403" t="s">
        <v>1099</v>
      </c>
      <c r="D403" t="s">
        <v>1327</v>
      </c>
      <c r="E403" s="442" t="s">
        <v>1306</v>
      </c>
      <c r="F403" s="453" t="e">
        <f>((((1/ F389 - 1/ F390) * F391 * (1 - F392)) * F393 * F394 * F395) / (F396 * F398)) * F399 * F400 * F401</f>
        <v>#DIV/0!</v>
      </c>
      <c r="H403" s="441" t="s">
        <v>1329</v>
      </c>
      <c r="I403" s="441" t="s">
        <v>1330</v>
      </c>
      <c r="J403" s="441" t="b">
        <f t="shared" si="11"/>
        <v>1</v>
      </c>
    </row>
    <row r="404" spans="1:10" hidden="1" x14ac:dyDescent="0.25">
      <c r="A404" s="441" t="str">
        <f t="shared" si="10"/>
        <v>Residential_Building Shell_Ceiling/Attic Insulation #1 (Electric Heat)_R_old</v>
      </c>
      <c r="B404" t="s">
        <v>1095</v>
      </c>
      <c r="C404" t="s">
        <v>1099</v>
      </c>
      <c r="D404" t="s">
        <v>1327</v>
      </c>
      <c r="E404" s="444" t="s">
        <v>1328</v>
      </c>
      <c r="F404" s="454">
        <f>[18]Dashboard_FS!$O$15</f>
        <v>0</v>
      </c>
      <c r="G404" s="441" t="s">
        <v>1116</v>
      </c>
      <c r="H404" s="441" t="s">
        <v>1329</v>
      </c>
      <c r="I404" s="441" t="s">
        <v>1330</v>
      </c>
      <c r="J404" s="441" t="b">
        <f t="shared" si="11"/>
        <v>1</v>
      </c>
    </row>
    <row r="405" spans="1:10" hidden="1" x14ac:dyDescent="0.25">
      <c r="A405" s="441" t="str">
        <f t="shared" si="10"/>
        <v>Residential_Building Shell_Ceiling/Attic Insulation #1 (Electric Heat)_R_attic</v>
      </c>
      <c r="B405" t="s">
        <v>1095</v>
      </c>
      <c r="C405" t="s">
        <v>1099</v>
      </c>
      <c r="D405" t="s">
        <v>1327</v>
      </c>
      <c r="E405" s="444" t="s">
        <v>1331</v>
      </c>
      <c r="F405" s="454">
        <f>[18]Dashboard_FS!$P$15</f>
        <v>0</v>
      </c>
      <c r="G405" s="441" t="s">
        <v>1116</v>
      </c>
      <c r="H405" s="441" t="s">
        <v>1329</v>
      </c>
      <c r="I405" s="441" t="s">
        <v>1330</v>
      </c>
      <c r="J405" s="441" t="b">
        <f t="shared" si="11"/>
        <v>1</v>
      </c>
    </row>
    <row r="406" spans="1:10" hidden="1" x14ac:dyDescent="0.25">
      <c r="A406" s="441" t="str">
        <f t="shared" si="10"/>
        <v>Residential_Building Shell_Ceiling/Attic Insulation #1 (Electric Heat)_A_attic</v>
      </c>
      <c r="B406" t="s">
        <v>1095</v>
      </c>
      <c r="C406" t="s">
        <v>1099</v>
      </c>
      <c r="D406" t="s">
        <v>1327</v>
      </c>
      <c r="E406" s="442" t="s">
        <v>1332</v>
      </c>
      <c r="F406" s="453">
        <f>[18]Dashboard_FS!$O$4</f>
        <v>0</v>
      </c>
      <c r="G406" s="441" t="s">
        <v>1116</v>
      </c>
      <c r="H406" s="441" t="s">
        <v>1329</v>
      </c>
      <c r="I406" s="441" t="s">
        <v>1330</v>
      </c>
      <c r="J406" s="441" t="b">
        <f t="shared" si="11"/>
        <v>1</v>
      </c>
    </row>
    <row r="407" spans="1:10" hidden="1" x14ac:dyDescent="0.25">
      <c r="A407" s="441" t="str">
        <f t="shared" si="10"/>
        <v>Residential_Building Shell_Ceiling/Attic Insulation #1 (Electric Heat)_Framing_factor_attic</v>
      </c>
      <c r="B407" t="s">
        <v>1095</v>
      </c>
      <c r="C407" t="s">
        <v>1099</v>
      </c>
      <c r="D407" t="s">
        <v>1327</v>
      </c>
      <c r="E407" s="444" t="s">
        <v>1333</v>
      </c>
      <c r="F407" s="454">
        <v>7.0000000000000007E-2</v>
      </c>
      <c r="H407" s="441" t="s">
        <v>1329</v>
      </c>
      <c r="I407" s="441" t="s">
        <v>1330</v>
      </c>
      <c r="J407" s="441" t="b">
        <f t="shared" si="11"/>
        <v>0</v>
      </c>
    </row>
    <row r="408" spans="1:10" hidden="1" x14ac:dyDescent="0.25">
      <c r="A408" s="441" t="str">
        <f t="shared" si="10"/>
        <v>Residential_Building Shell_Ceiling/Attic Insulation #1 (Electric Heat)_24</v>
      </c>
      <c r="B408" t="s">
        <v>1095</v>
      </c>
      <c r="C408" t="s">
        <v>1099</v>
      </c>
      <c r="D408" t="s">
        <v>1327</v>
      </c>
      <c r="E408" s="444">
        <v>24</v>
      </c>
      <c r="F408" s="454">
        <v>24</v>
      </c>
      <c r="H408" s="441" t="s">
        <v>1329</v>
      </c>
      <c r="I408" s="441" t="s">
        <v>1330</v>
      </c>
      <c r="J408" s="441" t="b">
        <f t="shared" si="11"/>
        <v>0</v>
      </c>
    </row>
    <row r="409" spans="1:10" hidden="1" x14ac:dyDescent="0.25">
      <c r="A409" s="441" t="str">
        <f t="shared" si="10"/>
        <v>Residential_Building Shell_Ceiling/Attic Insulation #1 (Electric Heat)_HDD</v>
      </c>
      <c r="B409" t="s">
        <v>1095</v>
      </c>
      <c r="C409" t="s">
        <v>1099</v>
      </c>
      <c r="D409" t="s">
        <v>1327</v>
      </c>
      <c r="E409" s="444" t="s">
        <v>1308</v>
      </c>
      <c r="F409" s="464">
        <f>INDEX('[18]CZ Inputs'!G:G,MATCH(A409&amp;"_"&amp;[18]Dashboard_EE!$K$3,'[18]CZ Inputs'!A:A,0))</f>
        <v>4266</v>
      </c>
      <c r="G409" s="441" t="s">
        <v>1297</v>
      </c>
      <c r="H409" s="441" t="s">
        <v>1329</v>
      </c>
      <c r="I409" s="441" t="s">
        <v>1330</v>
      </c>
      <c r="J409" s="441" t="b">
        <f t="shared" si="11"/>
        <v>1</v>
      </c>
    </row>
    <row r="410" spans="1:10" hidden="1" x14ac:dyDescent="0.25">
      <c r="A410" s="441" t="str">
        <f t="shared" si="10"/>
        <v>Residential_Building Shell_Ceiling/Attic Insulation #1 (Electric Heat)_ηHeat</v>
      </c>
      <c r="B410" t="s">
        <v>1095</v>
      </c>
      <c r="C410" t="s">
        <v>1099</v>
      </c>
      <c r="D410" t="s">
        <v>1327</v>
      </c>
      <c r="E410" s="442" t="s">
        <v>1309</v>
      </c>
      <c r="F410" s="453">
        <f>[18]Dashboard_FS!$K$6</f>
        <v>0</v>
      </c>
      <c r="G410" s="441" t="s">
        <v>1116</v>
      </c>
      <c r="H410" s="441" t="s">
        <v>1329</v>
      </c>
      <c r="I410" s="441" t="s">
        <v>1330</v>
      </c>
      <c r="J410" s="441" t="b">
        <f t="shared" si="11"/>
        <v>1</v>
      </c>
    </row>
    <row r="411" spans="1:10" hidden="1" x14ac:dyDescent="0.25">
      <c r="A411" s="441" t="str">
        <f t="shared" si="10"/>
        <v>Residential_Building Shell_Ceiling/Attic Insulation #1 (Electric Heat)_ηHeat_Mid-Life_Adj</v>
      </c>
      <c r="B411" t="s">
        <v>1095</v>
      </c>
      <c r="C411" t="s">
        <v>1099</v>
      </c>
      <c r="D411" t="s">
        <v>1327</v>
      </c>
      <c r="E411" s="442" t="s">
        <v>1310</v>
      </c>
      <c r="F411" s="453">
        <f>[18]Dashboard_FS!$K$6</f>
        <v>0</v>
      </c>
      <c r="G411" s="441" t="s">
        <v>1116</v>
      </c>
      <c r="H411" s="441" t="s">
        <v>1329</v>
      </c>
      <c r="I411" s="441" t="s">
        <v>1330</v>
      </c>
      <c r="J411" s="441" t="b">
        <f t="shared" si="11"/>
        <v>1</v>
      </c>
    </row>
    <row r="412" spans="1:10" hidden="1" x14ac:dyDescent="0.25">
      <c r="A412" s="441" t="str">
        <f t="shared" si="10"/>
        <v>Residential_Building Shell_Ceiling/Attic Insulation #1 (Electric Heat)_3412</v>
      </c>
      <c r="B412" t="s">
        <v>1095</v>
      </c>
      <c r="C412" t="s">
        <v>1099</v>
      </c>
      <c r="D412" t="s">
        <v>1327</v>
      </c>
      <c r="E412" s="444">
        <v>3412</v>
      </c>
      <c r="F412" s="454">
        <v>3412</v>
      </c>
      <c r="H412" s="441" t="s">
        <v>1329</v>
      </c>
      <c r="I412" s="441" t="s">
        <v>1330</v>
      </c>
      <c r="J412" s="441" t="b">
        <f t="shared" si="11"/>
        <v>0</v>
      </c>
    </row>
    <row r="413" spans="1:10" hidden="1" x14ac:dyDescent="0.25">
      <c r="A413" s="441" t="str">
        <f t="shared" si="10"/>
        <v>Residential_Building Shell_Ceiling/Attic Insulation #1 (Electric Heat)_ADJAtticElectricHeat</v>
      </c>
      <c r="B413" t="s">
        <v>1095</v>
      </c>
      <c r="C413" t="s">
        <v>1099</v>
      </c>
      <c r="D413" t="s">
        <v>1327</v>
      </c>
      <c r="E413" s="444" t="s">
        <v>1335</v>
      </c>
      <c r="F413" s="464">
        <v>0.63</v>
      </c>
      <c r="H413" s="441" t="s">
        <v>1329</v>
      </c>
      <c r="I413" s="441" t="s">
        <v>1330</v>
      </c>
      <c r="J413" s="441" t="b">
        <f t="shared" si="11"/>
        <v>0</v>
      </c>
    </row>
    <row r="414" spans="1:10" hidden="1" x14ac:dyDescent="0.25">
      <c r="A414" s="441" t="str">
        <f t="shared" si="10"/>
        <v>Residential_Building Shell_Ceiling/Attic Insulation #1 (Electric Heat)_%ElectricHeat</v>
      </c>
      <c r="B414" t="s">
        <v>1095</v>
      </c>
      <c r="C414" t="s">
        <v>1099</v>
      </c>
      <c r="D414" t="s">
        <v>1327</v>
      </c>
      <c r="E414" s="444" t="s">
        <v>1277</v>
      </c>
      <c r="F414" s="454">
        <v>1</v>
      </c>
      <c r="G414" s="441" t="s">
        <v>1311</v>
      </c>
      <c r="H414" s="441" t="s">
        <v>1329</v>
      </c>
      <c r="I414" s="441" t="s">
        <v>1330</v>
      </c>
      <c r="J414" s="441" t="b">
        <f t="shared" si="11"/>
        <v>0</v>
      </c>
    </row>
    <row r="415" spans="1:10" hidden="1" x14ac:dyDescent="0.25">
      <c r="A415" s="441" t="str">
        <f t="shared" si="10"/>
        <v>Residential_Building Shell_Ceiling/Attic Insulation #1 (Electric Heat)_Delta_kWh_heatingElectric</v>
      </c>
      <c r="B415" t="s">
        <v>1095</v>
      </c>
      <c r="C415" t="s">
        <v>1099</v>
      </c>
      <c r="D415" t="s">
        <v>1327</v>
      </c>
      <c r="E415" s="442" t="s">
        <v>1312</v>
      </c>
      <c r="F415" s="453" t="e">
        <f>((((1/ F404 - 1/ F405) * F406 * (1 - F407)) * F408 * F409) / (F410 * F412)) * F413 * F414</f>
        <v>#DIV/0!</v>
      </c>
      <c r="H415" s="441" t="s">
        <v>1329</v>
      </c>
      <c r="I415" s="441" t="s">
        <v>1330</v>
      </c>
      <c r="J415" s="441" t="b">
        <f t="shared" si="11"/>
        <v>1</v>
      </c>
    </row>
    <row r="416" spans="1:10" hidden="1" x14ac:dyDescent="0.25">
      <c r="A416" s="441" t="str">
        <f t="shared" si="10"/>
        <v>Residential_Building Shell_Ceiling/Attic Insulation #1 (Electric Heat)_Delta_kWh_heatingElectric_Mid-Life_Adj</v>
      </c>
      <c r="B416" t="s">
        <v>1095</v>
      </c>
      <c r="C416" t="s">
        <v>1099</v>
      </c>
      <c r="D416" t="s">
        <v>1327</v>
      </c>
      <c r="E416" s="442" t="s">
        <v>1313</v>
      </c>
      <c r="F416" s="453" t="e">
        <f>((((1/ F404 - 1/ F405) * F406 * (1 - F407)) * F408 * F409) / (F411 * F412)) * F413 * F414</f>
        <v>#DIV/0!</v>
      </c>
      <c r="H416" s="441" t="s">
        <v>1329</v>
      </c>
      <c r="I416" s="441" t="s">
        <v>1330</v>
      </c>
      <c r="J416" s="441" t="b">
        <f t="shared" si="11"/>
        <v>1</v>
      </c>
    </row>
    <row r="417" spans="1:10" hidden="1" x14ac:dyDescent="0.25">
      <c r="A417" s="441" t="str">
        <f t="shared" si="10"/>
        <v>Residential_Building Shell_Ceiling/Attic Insulation #1 (Electric Heat)_Fe</v>
      </c>
      <c r="B417" t="s">
        <v>1095</v>
      </c>
      <c r="C417" t="s">
        <v>1099</v>
      </c>
      <c r="D417" t="s">
        <v>1327</v>
      </c>
      <c r="E417" s="444" t="s">
        <v>1127</v>
      </c>
      <c r="F417" s="454">
        <v>3.1399999999999997E-2</v>
      </c>
      <c r="H417" s="441" t="s">
        <v>1329</v>
      </c>
      <c r="I417" s="441" t="s">
        <v>1330</v>
      </c>
      <c r="J417" s="441" t="b">
        <f t="shared" si="11"/>
        <v>0</v>
      </c>
    </row>
    <row r="418" spans="1:10" hidden="1" x14ac:dyDescent="0.25">
      <c r="A418" s="441" t="str">
        <f t="shared" si="10"/>
        <v>Residential_Building Shell_Ceiling/Attic Insulation #1 (Electric Heat)_29.3</v>
      </c>
      <c r="B418" t="s">
        <v>1095</v>
      </c>
      <c r="C418" t="s">
        <v>1099</v>
      </c>
      <c r="D418" t="s">
        <v>1327</v>
      </c>
      <c r="E418" s="444">
        <v>29.3</v>
      </c>
      <c r="F418" s="454">
        <v>29.3</v>
      </c>
      <c r="H418" s="441" t="s">
        <v>1329</v>
      </c>
      <c r="I418" s="441" t="s">
        <v>1330</v>
      </c>
      <c r="J418" s="441" t="b">
        <f t="shared" si="11"/>
        <v>0</v>
      </c>
    </row>
    <row r="419" spans="1:10" hidden="1" x14ac:dyDescent="0.25">
      <c r="A419" s="441" t="str">
        <f t="shared" si="10"/>
        <v>Residential_Building Shell_Ceiling/Attic Insulation #1 (Electric Heat)_ADJAtticHeatFan</v>
      </c>
      <c r="B419" t="s">
        <v>1095</v>
      </c>
      <c r="C419" t="s">
        <v>1099</v>
      </c>
      <c r="D419" t="s">
        <v>1327</v>
      </c>
      <c r="E419" s="444" t="s">
        <v>1336</v>
      </c>
      <c r="F419" s="464">
        <v>1.1299999999999999</v>
      </c>
      <c r="H419" s="441" t="s">
        <v>1329</v>
      </c>
      <c r="I419" s="441" t="s">
        <v>1330</v>
      </c>
      <c r="J419" s="441" t="b">
        <f t="shared" si="11"/>
        <v>0</v>
      </c>
    </row>
    <row r="420" spans="1:10" hidden="1" x14ac:dyDescent="0.25">
      <c r="A420" s="441" t="str">
        <f t="shared" si="10"/>
        <v>Residential_Building Shell_Ceiling/Attic Insulation #1 (Electric Heat)_IENetCorrection</v>
      </c>
      <c r="B420" t="s">
        <v>1095</v>
      </c>
      <c r="C420" t="s">
        <v>1099</v>
      </c>
      <c r="D420" t="s">
        <v>1327</v>
      </c>
      <c r="E420" s="444" t="s">
        <v>1304</v>
      </c>
      <c r="F420" s="454">
        <f>IF([18]Dashboard_FS!$K$20="Yes",110%,100%)</f>
        <v>1.1000000000000001</v>
      </c>
      <c r="H420" s="441" t="s">
        <v>1329</v>
      </c>
      <c r="I420" s="441" t="s">
        <v>1330</v>
      </c>
      <c r="J420" s="441" t="b">
        <f t="shared" si="11"/>
        <v>1</v>
      </c>
    </row>
    <row r="421" spans="1:10" hidden="1" x14ac:dyDescent="0.25">
      <c r="A421" s="441" t="str">
        <f t="shared" si="10"/>
        <v>Residential_Building Shell_Ceiling/Attic Insulation #1 (Electric Heat)_Delta_kWh_heatingGas</v>
      </c>
      <c r="B421" t="s">
        <v>1095</v>
      </c>
      <c r="C421" t="s">
        <v>1099</v>
      </c>
      <c r="D421" t="s">
        <v>1327</v>
      </c>
      <c r="E421" s="442" t="s">
        <v>1315</v>
      </c>
      <c r="F421" s="453" t="e">
        <f xml:space="preserve"> F439 * F417 * F418 * F419 * F420</f>
        <v>#DIV/0!</v>
      </c>
      <c r="H421" s="441" t="s">
        <v>1329</v>
      </c>
      <c r="I421" s="441" t="s">
        <v>1330</v>
      </c>
      <c r="J421" s="441" t="b">
        <f t="shared" si="11"/>
        <v>1</v>
      </c>
    </row>
    <row r="422" spans="1:10" hidden="1" x14ac:dyDescent="0.25">
      <c r="A422" s="441" t="str">
        <f t="shared" si="10"/>
        <v>Residential_Building Shell_Ceiling/Attic Insulation #1 (Electric Heat)_Delta_kWh_heatingGas_Mid-Life_Adj</v>
      </c>
      <c r="B422" t="s">
        <v>1095</v>
      </c>
      <c r="C422" t="s">
        <v>1099</v>
      </c>
      <c r="D422" t="s">
        <v>1327</v>
      </c>
      <c r="E422" s="442" t="s">
        <v>1316</v>
      </c>
      <c r="F422" s="453" t="e">
        <f xml:space="preserve"> F440 * F417 * F418 * F419 * F420</f>
        <v>#DIV/0!</v>
      </c>
      <c r="H422" s="441" t="s">
        <v>1329</v>
      </c>
      <c r="I422" s="441" t="s">
        <v>1330</v>
      </c>
      <c r="J422" s="441" t="b">
        <f t="shared" si="11"/>
        <v>1</v>
      </c>
    </row>
    <row r="423" spans="1:10" hidden="1" x14ac:dyDescent="0.25">
      <c r="A423" s="441" t="str">
        <f t="shared" si="10"/>
        <v>Residential_Building Shell_Ceiling/Attic Insulation #1 (Electric Heat)_FLH_cooling</v>
      </c>
      <c r="B423" t="s">
        <v>1095</v>
      </c>
      <c r="C423" t="s">
        <v>1099</v>
      </c>
      <c r="D423" t="s">
        <v>1327</v>
      </c>
      <c r="E423" s="444" t="s">
        <v>1317</v>
      </c>
      <c r="F423" s="464">
        <f>INDEX('[18]CZ Inputs'!G:G,MATCH(A423&amp;"_"&amp;[18]Dashboard_EE!$K$3,'[18]CZ Inputs'!A:A,0))</f>
        <v>779</v>
      </c>
      <c r="G423" s="441" t="s">
        <v>1297</v>
      </c>
      <c r="H423" s="441" t="s">
        <v>1329</v>
      </c>
      <c r="I423" s="441" t="s">
        <v>1330</v>
      </c>
      <c r="J423" s="441" t="b">
        <f t="shared" si="11"/>
        <v>1</v>
      </c>
    </row>
    <row r="424" spans="1:10" hidden="1" x14ac:dyDescent="0.25">
      <c r="A424" s="441" t="str">
        <f t="shared" si="10"/>
        <v>Residential_Building Shell_Ceiling/Attic Insulation #1 (Electric Heat)_CF</v>
      </c>
      <c r="B424" t="s">
        <v>1095</v>
      </c>
      <c r="C424" t="s">
        <v>1099</v>
      </c>
      <c r="D424" t="s">
        <v>1327</v>
      </c>
      <c r="E424" s="444" t="s">
        <v>1153</v>
      </c>
      <c r="F424" s="454">
        <v>0.68</v>
      </c>
      <c r="G424" s="441" t="s">
        <v>1195</v>
      </c>
      <c r="H424" s="441" t="s">
        <v>1329</v>
      </c>
      <c r="I424" s="441" t="s">
        <v>1330</v>
      </c>
      <c r="J424" s="441" t="b">
        <f t="shared" si="11"/>
        <v>0</v>
      </c>
    </row>
    <row r="425" spans="1:10" hidden="1" x14ac:dyDescent="0.25">
      <c r="A425" s="441" t="str">
        <f t="shared" si="10"/>
        <v>Residential_Building Shell_Ceiling/Attic Insulation #1 (Electric Heat)_Delta_kW</v>
      </c>
      <c r="B425" t="s">
        <v>1095</v>
      </c>
      <c r="C425" t="s">
        <v>1099</v>
      </c>
      <c r="D425" t="s">
        <v>1327</v>
      </c>
      <c r="E425" s="442" t="s">
        <v>1155</v>
      </c>
      <c r="F425" s="453" t="e">
        <f>(F402/F423)*F424</f>
        <v>#DIV/0!</v>
      </c>
      <c r="H425" s="441" t="s">
        <v>1329</v>
      </c>
      <c r="I425" s="441" t="s">
        <v>1330</v>
      </c>
      <c r="J425" s="441" t="b">
        <f t="shared" si="11"/>
        <v>1</v>
      </c>
    </row>
    <row r="426" spans="1:10" hidden="1" x14ac:dyDescent="0.25">
      <c r="A426" s="441" t="str">
        <f t="shared" si="10"/>
        <v>Residential_Building Shell_Ceiling/Attic Insulation #1 (Electric Heat)_Delta_kW_Mid-Life_Adj</v>
      </c>
      <c r="B426" t="s">
        <v>1095</v>
      </c>
      <c r="C426" t="s">
        <v>1099</v>
      </c>
      <c r="D426" t="s">
        <v>1327</v>
      </c>
      <c r="E426" s="442" t="s">
        <v>1318</v>
      </c>
      <c r="F426" s="453" t="e">
        <f>(F403/F423)*F424</f>
        <v>#DIV/0!</v>
      </c>
      <c r="H426" s="441" t="s">
        <v>1329</v>
      </c>
      <c r="I426" s="441" t="s">
        <v>1330</v>
      </c>
      <c r="J426" s="441" t="b">
        <f t="shared" si="11"/>
        <v>1</v>
      </c>
    </row>
    <row r="427" spans="1:10" hidden="1" x14ac:dyDescent="0.25">
      <c r="A427" s="441" t="str">
        <f t="shared" si="10"/>
        <v>Residential_Building Shell_Ceiling/Attic Insulation #1 (Electric Heat)_R_old</v>
      </c>
      <c r="B427" t="s">
        <v>1095</v>
      </c>
      <c r="C427" t="s">
        <v>1099</v>
      </c>
      <c r="D427" t="s">
        <v>1327</v>
      </c>
      <c r="E427" s="444" t="s">
        <v>1328</v>
      </c>
      <c r="F427" s="454">
        <f>[18]Dashboard_FS!$O$15</f>
        <v>0</v>
      </c>
      <c r="G427" s="441" t="s">
        <v>1116</v>
      </c>
      <c r="H427" s="441" t="s">
        <v>1329</v>
      </c>
      <c r="I427" s="441" t="s">
        <v>1330</v>
      </c>
      <c r="J427" s="441" t="b">
        <f t="shared" si="11"/>
        <v>1</v>
      </c>
    </row>
    <row r="428" spans="1:10" hidden="1" x14ac:dyDescent="0.25">
      <c r="A428" s="441" t="str">
        <f t="shared" si="10"/>
        <v>Residential_Building Shell_Ceiling/Attic Insulation #1 (Electric Heat)_R_attic</v>
      </c>
      <c r="B428" t="s">
        <v>1095</v>
      </c>
      <c r="C428" t="s">
        <v>1099</v>
      </c>
      <c r="D428" t="s">
        <v>1327</v>
      </c>
      <c r="E428" s="444" t="s">
        <v>1331</v>
      </c>
      <c r="F428" s="454">
        <f>[18]Dashboard_FS!$P$15</f>
        <v>0</v>
      </c>
      <c r="G428" s="441" t="s">
        <v>1116</v>
      </c>
      <c r="H428" s="441" t="s">
        <v>1329</v>
      </c>
      <c r="I428" s="441" t="s">
        <v>1330</v>
      </c>
      <c r="J428" s="441" t="b">
        <f t="shared" si="11"/>
        <v>1</v>
      </c>
    </row>
    <row r="429" spans="1:10" hidden="1" x14ac:dyDescent="0.25">
      <c r="A429" s="441" t="str">
        <f t="shared" si="10"/>
        <v>Residential_Building Shell_Ceiling/Attic Insulation #1 (Electric Heat)_A_attic</v>
      </c>
      <c r="B429" t="s">
        <v>1095</v>
      </c>
      <c r="C429" t="s">
        <v>1099</v>
      </c>
      <c r="D429" t="s">
        <v>1327</v>
      </c>
      <c r="E429" s="442" t="s">
        <v>1332</v>
      </c>
      <c r="F429" s="453">
        <f>[18]Dashboard_FS!$O$4</f>
        <v>0</v>
      </c>
      <c r="G429" s="441" t="s">
        <v>1116</v>
      </c>
      <c r="H429" s="441" t="s">
        <v>1329</v>
      </c>
      <c r="I429" s="441" t="s">
        <v>1330</v>
      </c>
      <c r="J429" s="441" t="b">
        <f t="shared" si="11"/>
        <v>1</v>
      </c>
    </row>
    <row r="430" spans="1:10" hidden="1" x14ac:dyDescent="0.25">
      <c r="A430" s="441" t="str">
        <f t="shared" si="10"/>
        <v>Residential_Building Shell_Ceiling/Attic Insulation #1 (Electric Heat)_Framing_factor_attic</v>
      </c>
      <c r="B430" t="s">
        <v>1095</v>
      </c>
      <c r="C430" t="s">
        <v>1099</v>
      </c>
      <c r="D430" t="s">
        <v>1327</v>
      </c>
      <c r="E430" s="444" t="s">
        <v>1333</v>
      </c>
      <c r="F430" s="454">
        <v>7.0000000000000007E-2</v>
      </c>
      <c r="H430" s="441" t="s">
        <v>1329</v>
      </c>
      <c r="I430" s="441" t="s">
        <v>1330</v>
      </c>
      <c r="J430" s="441" t="b">
        <f t="shared" si="11"/>
        <v>0</v>
      </c>
    </row>
    <row r="431" spans="1:10" hidden="1" x14ac:dyDescent="0.25">
      <c r="A431" s="441" t="str">
        <f t="shared" si="10"/>
        <v>Residential_Building Shell_Ceiling/Attic Insulation #1 (Electric Heat)_24</v>
      </c>
      <c r="B431" t="s">
        <v>1095</v>
      </c>
      <c r="C431" t="s">
        <v>1099</v>
      </c>
      <c r="D431" t="s">
        <v>1327</v>
      </c>
      <c r="E431" s="444">
        <v>24</v>
      </c>
      <c r="F431" s="454">
        <v>24</v>
      </c>
      <c r="H431" s="441" t="s">
        <v>1329</v>
      </c>
      <c r="I431" s="441" t="s">
        <v>1330</v>
      </c>
      <c r="J431" s="441" t="b">
        <f t="shared" si="11"/>
        <v>0</v>
      </c>
    </row>
    <row r="432" spans="1:10" hidden="1" x14ac:dyDescent="0.25">
      <c r="A432" s="441" t="str">
        <f t="shared" si="10"/>
        <v>Residential_Building Shell_Ceiling/Attic Insulation #1 (Electric Heat)_HDD</v>
      </c>
      <c r="B432" t="s">
        <v>1095</v>
      </c>
      <c r="C432" t="s">
        <v>1099</v>
      </c>
      <c r="D432" t="s">
        <v>1327</v>
      </c>
      <c r="E432" s="444" t="s">
        <v>1308</v>
      </c>
      <c r="F432" s="464">
        <f>INDEX('[18]CZ Inputs'!G:G,MATCH(A432&amp;"_"&amp;[18]Dashboard_EE!$K$3,'[18]CZ Inputs'!A:A,0))</f>
        <v>4266</v>
      </c>
      <c r="G432" s="441" t="s">
        <v>1297</v>
      </c>
      <c r="H432" s="441" t="s">
        <v>1329</v>
      </c>
      <c r="I432" s="441" t="s">
        <v>1330</v>
      </c>
      <c r="J432" s="441" t="b">
        <f t="shared" si="11"/>
        <v>1</v>
      </c>
    </row>
    <row r="433" spans="1:10" hidden="1" x14ac:dyDescent="0.25">
      <c r="A433" s="441" t="str">
        <f t="shared" si="10"/>
        <v>Residential_Building Shell_Ceiling/Attic Insulation #1 (Electric Heat)_ηHeat</v>
      </c>
      <c r="B433" t="s">
        <v>1095</v>
      </c>
      <c r="C433" t="s">
        <v>1099</v>
      </c>
      <c r="D433" t="s">
        <v>1327</v>
      </c>
      <c r="E433" s="442" t="s">
        <v>1309</v>
      </c>
      <c r="F433" s="453">
        <f>[18]Dashboard_FS!$K$8</f>
        <v>0</v>
      </c>
      <c r="G433" s="441" t="s">
        <v>1116</v>
      </c>
      <c r="H433" s="441" t="s">
        <v>1329</v>
      </c>
      <c r="I433" s="441" t="s">
        <v>1330</v>
      </c>
      <c r="J433" s="441" t="b">
        <f t="shared" si="11"/>
        <v>1</v>
      </c>
    </row>
    <row r="434" spans="1:10" hidden="1" x14ac:dyDescent="0.25">
      <c r="A434" s="441" t="str">
        <f t="shared" si="10"/>
        <v>Residential_Building Shell_Ceiling/Attic Insulation #1 (Electric Heat)_ηHeat_Mid-Life_Adj</v>
      </c>
      <c r="B434" t="s">
        <v>1095</v>
      </c>
      <c r="C434" t="s">
        <v>1099</v>
      </c>
      <c r="D434" t="s">
        <v>1327</v>
      </c>
      <c r="E434" s="442" t="s">
        <v>1310</v>
      </c>
      <c r="F434" s="453">
        <f>[18]Dashboard_FS!$K$8</f>
        <v>0</v>
      </c>
      <c r="G434" s="441" t="s">
        <v>1116</v>
      </c>
      <c r="H434" s="441" t="s">
        <v>1329</v>
      </c>
      <c r="I434" s="441" t="s">
        <v>1330</v>
      </c>
      <c r="J434" s="441" t="b">
        <f t="shared" si="11"/>
        <v>1</v>
      </c>
    </row>
    <row r="435" spans="1:10" hidden="1" x14ac:dyDescent="0.25">
      <c r="A435" s="441" t="str">
        <f t="shared" si="10"/>
        <v>Residential_Building Shell_Ceiling/Attic Insulation #1 (Electric Heat)_100000</v>
      </c>
      <c r="B435" t="s">
        <v>1095</v>
      </c>
      <c r="C435" t="s">
        <v>1099</v>
      </c>
      <c r="D435" t="s">
        <v>1327</v>
      </c>
      <c r="E435" s="444">
        <v>100000</v>
      </c>
      <c r="F435" s="454">
        <v>100000</v>
      </c>
      <c r="H435" s="441" t="s">
        <v>1329</v>
      </c>
      <c r="I435" s="441" t="s">
        <v>1330</v>
      </c>
      <c r="J435" s="441" t="b">
        <f t="shared" si="11"/>
        <v>0</v>
      </c>
    </row>
    <row r="436" spans="1:10" hidden="1" x14ac:dyDescent="0.25">
      <c r="A436" s="441" t="str">
        <f t="shared" si="10"/>
        <v>Residential_Building Shell_Ceiling/Attic Insulation #1 (Electric Heat)_ADJAtticGasHeat</v>
      </c>
      <c r="B436" t="s">
        <v>1095</v>
      </c>
      <c r="C436" t="s">
        <v>1099</v>
      </c>
      <c r="D436" t="s">
        <v>1327</v>
      </c>
      <c r="E436" s="444" t="s">
        <v>1337</v>
      </c>
      <c r="F436" s="464">
        <v>0.76</v>
      </c>
      <c r="H436" s="441" t="s">
        <v>1329</v>
      </c>
      <c r="I436" s="441" t="s">
        <v>1330</v>
      </c>
      <c r="J436" s="441" t="b">
        <f t="shared" si="11"/>
        <v>0</v>
      </c>
    </row>
    <row r="437" spans="1:10" hidden="1" x14ac:dyDescent="0.25">
      <c r="A437" s="441" t="str">
        <f t="shared" si="10"/>
        <v>Residential_Building Shell_Ceiling/Attic Insulation #1 (Electric Heat)_IENetCorrection</v>
      </c>
      <c r="B437" t="s">
        <v>1095</v>
      </c>
      <c r="C437" t="s">
        <v>1099</v>
      </c>
      <c r="D437" t="s">
        <v>1327</v>
      </c>
      <c r="E437" s="444" t="s">
        <v>1304</v>
      </c>
      <c r="F437" s="454">
        <f>IF([18]Dashboard_FS!$K$20="Yes",110%,100%)</f>
        <v>1.1000000000000001</v>
      </c>
      <c r="H437" s="441" t="s">
        <v>1329</v>
      </c>
      <c r="I437" s="441" t="s">
        <v>1330</v>
      </c>
      <c r="J437" s="441" t="b">
        <f t="shared" si="11"/>
        <v>1</v>
      </c>
    </row>
    <row r="438" spans="1:10" hidden="1" x14ac:dyDescent="0.25">
      <c r="A438" s="441" t="str">
        <f t="shared" si="10"/>
        <v>Residential_Building Shell_Ceiling/Attic Insulation #1 (Electric Heat)_%GasHeat</v>
      </c>
      <c r="B438" t="s">
        <v>1095</v>
      </c>
      <c r="C438" t="s">
        <v>1099</v>
      </c>
      <c r="D438" t="s">
        <v>1327</v>
      </c>
      <c r="E438" s="444" t="s">
        <v>1338</v>
      </c>
      <c r="F438" s="454">
        <v>0</v>
      </c>
      <c r="G438" s="441" t="s">
        <v>1311</v>
      </c>
      <c r="H438" s="441" t="s">
        <v>1329</v>
      </c>
      <c r="I438" s="441" t="s">
        <v>1330</v>
      </c>
      <c r="J438" s="441" t="b">
        <f t="shared" si="11"/>
        <v>0</v>
      </c>
    </row>
    <row r="439" spans="1:10" hidden="1" x14ac:dyDescent="0.25">
      <c r="A439" s="441" t="str">
        <f t="shared" si="10"/>
        <v>Residential_Building Shell_Ceiling/Attic Insulation #1 (Electric Heat)_Delta_therms</v>
      </c>
      <c r="B439" t="s">
        <v>1095</v>
      </c>
      <c r="C439" t="s">
        <v>1099</v>
      </c>
      <c r="D439" t="s">
        <v>1327</v>
      </c>
      <c r="E439" s="442" t="s">
        <v>1320</v>
      </c>
      <c r="F439" s="453" t="e">
        <f xml:space="preserve"> ((((1/ F427 - 1/ F428) * F429 * (1 - F430)) * F431 * F432) / (F433 * F435)) * F436 * F437 * F438</f>
        <v>#DIV/0!</v>
      </c>
      <c r="H439" s="441" t="s">
        <v>1329</v>
      </c>
      <c r="I439" s="441" t="s">
        <v>1330</v>
      </c>
      <c r="J439" s="441" t="b">
        <f t="shared" si="11"/>
        <v>1</v>
      </c>
    </row>
    <row r="440" spans="1:10" hidden="1" x14ac:dyDescent="0.25">
      <c r="A440" s="441" t="str">
        <f t="shared" ref="A440:A503" si="12">B440&amp;"_"&amp;C440&amp;"_"&amp;D440&amp;"_"&amp;E440</f>
        <v>Residential_Building Shell_Ceiling/Attic Insulation #1 (Electric Heat)_Delta_therms_Mid-Life_Adj</v>
      </c>
      <c r="B440" t="s">
        <v>1095</v>
      </c>
      <c r="C440" t="s">
        <v>1099</v>
      </c>
      <c r="D440" t="s">
        <v>1327</v>
      </c>
      <c r="E440" s="442" t="s">
        <v>1321</v>
      </c>
      <c r="F440" s="453" t="e">
        <f xml:space="preserve"> ((((1/ F427 - 1/ F428) * F429 * (1 - F430)) * F431 * F432) / (F434 * F435)) * F436 * F437 * F438</f>
        <v>#DIV/0!</v>
      </c>
      <c r="H440" s="441" t="s">
        <v>1329</v>
      </c>
      <c r="I440" s="441" t="s">
        <v>1330</v>
      </c>
      <c r="J440" s="441" t="b">
        <f t="shared" si="11"/>
        <v>1</v>
      </c>
    </row>
    <row r="441" spans="1:10" hidden="1" x14ac:dyDescent="0.25">
      <c r="A441" s="441" t="str">
        <f t="shared" si="12"/>
        <v>Residential_Building Shell_Ceiling/Attic Insulation #1 (Electric Heat)_Remaining Year kWh</v>
      </c>
      <c r="B441" t="s">
        <v>1095</v>
      </c>
      <c r="C441" t="s">
        <v>1099</v>
      </c>
      <c r="D441" t="s">
        <v>1327</v>
      </c>
      <c r="E441" s="450" t="s">
        <v>1322</v>
      </c>
      <c r="F441" s="456" t="e">
        <f>F402+F415+F421</f>
        <v>#DIV/0!</v>
      </c>
      <c r="H441" s="441" t="s">
        <v>1329</v>
      </c>
      <c r="I441" s="441" t="s">
        <v>1330</v>
      </c>
      <c r="J441" s="441" t="b">
        <f t="shared" si="11"/>
        <v>1</v>
      </c>
    </row>
    <row r="442" spans="1:10" hidden="1" x14ac:dyDescent="0.25">
      <c r="A442" s="441" t="str">
        <f t="shared" si="12"/>
        <v>Residential_Building Shell_Ceiling/Attic Insulation #1 (Electric Heat)_kWh Saved per Unit</v>
      </c>
      <c r="B442" t="s">
        <v>1095</v>
      </c>
      <c r="C442" t="s">
        <v>1099</v>
      </c>
      <c r="D442" t="s">
        <v>1327</v>
      </c>
      <c r="E442" s="450" t="s">
        <v>1156</v>
      </c>
      <c r="F442" s="456" t="e">
        <f>F403+F416+F422</f>
        <v>#DIV/0!</v>
      </c>
      <c r="H442" s="441" t="s">
        <v>1329</v>
      </c>
      <c r="I442" s="441" t="s">
        <v>1330</v>
      </c>
      <c r="J442" s="441" t="b">
        <f t="shared" si="11"/>
        <v>1</v>
      </c>
    </row>
    <row r="443" spans="1:10" hidden="1" x14ac:dyDescent="0.25">
      <c r="A443" s="441" t="str">
        <f t="shared" si="12"/>
        <v>Residential_Building Shell_Ceiling/Attic Insulation #1 (Electric Heat)_Remaining Year kW</v>
      </c>
      <c r="B443" t="s">
        <v>1095</v>
      </c>
      <c r="C443" t="s">
        <v>1099</v>
      </c>
      <c r="D443" t="s">
        <v>1327</v>
      </c>
      <c r="E443" s="450" t="s">
        <v>1323</v>
      </c>
      <c r="F443" s="456" t="e">
        <f>F425</f>
        <v>#DIV/0!</v>
      </c>
      <c r="H443" s="441" t="s">
        <v>1329</v>
      </c>
      <c r="I443" s="441" t="s">
        <v>1330</v>
      </c>
      <c r="J443" s="441" t="b">
        <f t="shared" si="11"/>
        <v>1</v>
      </c>
    </row>
    <row r="444" spans="1:10" hidden="1" x14ac:dyDescent="0.25">
      <c r="A444" s="441" t="str">
        <f t="shared" si="12"/>
        <v>Residential_Building Shell_Ceiling/Attic Insulation #1 (Electric Heat)_Coincident Peak kW Saved per Unit</v>
      </c>
      <c r="B444" t="s">
        <v>1095</v>
      </c>
      <c r="C444" t="s">
        <v>1099</v>
      </c>
      <c r="D444" t="s">
        <v>1327</v>
      </c>
      <c r="E444" s="450" t="s">
        <v>1157</v>
      </c>
      <c r="F444" s="456" t="e">
        <f>F426</f>
        <v>#DIV/0!</v>
      </c>
      <c r="H444" s="441" t="s">
        <v>1329</v>
      </c>
      <c r="I444" s="441" t="s">
        <v>1330</v>
      </c>
      <c r="J444" s="441" t="b">
        <f t="shared" si="11"/>
        <v>1</v>
      </c>
    </row>
    <row r="445" spans="1:10" hidden="1" x14ac:dyDescent="0.25">
      <c r="A445" s="441" t="str">
        <f t="shared" si="12"/>
        <v>Residential_Building Shell_Ceiling/Attic Insulation #1 (Electric Heat)_Remaining Year Therms</v>
      </c>
      <c r="B445" t="s">
        <v>1095</v>
      </c>
      <c r="C445" t="s">
        <v>1099</v>
      </c>
      <c r="D445" t="s">
        <v>1327</v>
      </c>
      <c r="E445" s="450" t="s">
        <v>1324</v>
      </c>
      <c r="F445" s="456" t="e">
        <f>F439</f>
        <v>#DIV/0!</v>
      </c>
      <c r="H445" s="441" t="s">
        <v>1329</v>
      </c>
      <c r="I445" s="441" t="s">
        <v>1330</v>
      </c>
      <c r="J445" s="441" t="b">
        <f t="shared" si="11"/>
        <v>1</v>
      </c>
    </row>
    <row r="446" spans="1:10" hidden="1" x14ac:dyDescent="0.25">
      <c r="A446" s="441" t="str">
        <f t="shared" si="12"/>
        <v>Residential_Building Shell_Ceiling/Attic Insulation #1 (Electric Heat)_Therms Saved per Unit</v>
      </c>
      <c r="B446" t="s">
        <v>1095</v>
      </c>
      <c r="C446" t="s">
        <v>1099</v>
      </c>
      <c r="D446" t="s">
        <v>1327</v>
      </c>
      <c r="E446" s="450" t="s">
        <v>1251</v>
      </c>
      <c r="F446" s="456" t="e">
        <f>F440</f>
        <v>#DIV/0!</v>
      </c>
      <c r="H446" s="441" t="s">
        <v>1329</v>
      </c>
      <c r="I446" s="441" t="s">
        <v>1330</v>
      </c>
      <c r="J446" s="441" t="b">
        <f t="shared" si="11"/>
        <v>1</v>
      </c>
    </row>
    <row r="447" spans="1:10" hidden="1" x14ac:dyDescent="0.25">
      <c r="A447" s="441" t="str">
        <f t="shared" si="12"/>
        <v>Residential_Building Shell_Ceiling/Attic Insulation #1 (Electric Heat)_Remaining Life</v>
      </c>
      <c r="B447" t="s">
        <v>1095</v>
      </c>
      <c r="C447" t="s">
        <v>1099</v>
      </c>
      <c r="D447" t="s">
        <v>1327</v>
      </c>
      <c r="E447" s="450" t="s">
        <v>1325</v>
      </c>
      <c r="F447" s="456">
        <v>10</v>
      </c>
      <c r="H447" s="441" t="s">
        <v>1329</v>
      </c>
      <c r="I447" s="441" t="s">
        <v>1330</v>
      </c>
      <c r="J447" s="441" t="b">
        <f t="shared" si="11"/>
        <v>0</v>
      </c>
    </row>
    <row r="448" spans="1:10" hidden="1" x14ac:dyDescent="0.25">
      <c r="A448" s="441" t="str">
        <f t="shared" si="12"/>
        <v>Residential_Building Shell_Ceiling/Attic Insulation #1 (Electric Heat)_Lifetime (years)</v>
      </c>
      <c r="B448" t="s">
        <v>1095</v>
      </c>
      <c r="C448" t="s">
        <v>1099</v>
      </c>
      <c r="D448" t="s">
        <v>1327</v>
      </c>
      <c r="E448" s="450" t="s">
        <v>1160</v>
      </c>
      <c r="F448" s="457">
        <v>30</v>
      </c>
      <c r="H448" s="441" t="s">
        <v>1329</v>
      </c>
      <c r="I448" s="441" t="s">
        <v>1330</v>
      </c>
      <c r="J448" s="441" t="b">
        <f t="shared" si="11"/>
        <v>0</v>
      </c>
    </row>
    <row r="449" spans="1:10" hidden="1" x14ac:dyDescent="0.25">
      <c r="A449" s="441" t="str">
        <f t="shared" si="12"/>
        <v>Residential_Building Shell_Ceiling/Attic Insulation #1 (Electric Heat)_Incremental Cost</v>
      </c>
      <c r="B449" t="s">
        <v>1095</v>
      </c>
      <c r="C449" t="s">
        <v>1099</v>
      </c>
      <c r="D449" t="s">
        <v>1327</v>
      </c>
      <c r="E449" s="450" t="s">
        <v>1161</v>
      </c>
      <c r="F449" s="452">
        <f>0.75*F391</f>
        <v>0</v>
      </c>
      <c r="G449" s="441" t="s">
        <v>1326</v>
      </c>
      <c r="H449" s="441" t="s">
        <v>1329</v>
      </c>
      <c r="I449" s="441" t="s">
        <v>1330</v>
      </c>
      <c r="J449" s="441" t="b">
        <f t="shared" si="11"/>
        <v>1</v>
      </c>
    </row>
    <row r="450" spans="1:10" hidden="1" x14ac:dyDescent="0.25">
      <c r="A450" s="441" t="str">
        <f t="shared" si="12"/>
        <v>Residential_Building Shell_Ceiling/Attic Insulation #1 (Electric Heat)_BTU Impact_Existing_Fossil Fuel</v>
      </c>
      <c r="B450" t="s">
        <v>1095</v>
      </c>
      <c r="C450" t="s">
        <v>1099</v>
      </c>
      <c r="D450" t="s">
        <v>1327</v>
      </c>
      <c r="E450" s="450" t="s">
        <v>1163</v>
      </c>
      <c r="F450" s="451">
        <v>0</v>
      </c>
      <c r="H450" s="441" t="s">
        <v>1329</v>
      </c>
      <c r="I450" s="441" t="s">
        <v>1330</v>
      </c>
      <c r="J450" s="441" t="b">
        <f t="shared" si="11"/>
        <v>0</v>
      </c>
    </row>
    <row r="451" spans="1:10" hidden="1" x14ac:dyDescent="0.25">
      <c r="A451" s="441" t="str">
        <f t="shared" si="12"/>
        <v>Residential_Building Shell_Ceiling/Attic Insulation #1 (Electric Heat)_BTU Impact_Existing_Winter Electricity</v>
      </c>
      <c r="B451" t="s">
        <v>1095</v>
      </c>
      <c r="C451" t="s">
        <v>1099</v>
      </c>
      <c r="D451" t="s">
        <v>1327</v>
      </c>
      <c r="E451" s="450" t="s">
        <v>1164</v>
      </c>
      <c r="F451" s="451">
        <v>0</v>
      </c>
      <c r="H451" s="441" t="s">
        <v>1329</v>
      </c>
      <c r="I451" s="441" t="s">
        <v>1330</v>
      </c>
      <c r="J451" s="441" t="b">
        <f t="shared" si="11"/>
        <v>0</v>
      </c>
    </row>
    <row r="452" spans="1:10" hidden="1" x14ac:dyDescent="0.25">
      <c r="A452" s="441" t="str">
        <f t="shared" si="12"/>
        <v>Residential_Building Shell_Ceiling/Attic Insulation #1 (Electric Heat)_BTU Impact_Existing_Summer Electricity</v>
      </c>
      <c r="B452" t="s">
        <v>1095</v>
      </c>
      <c r="C452" t="s">
        <v>1099</v>
      </c>
      <c r="D452" t="s">
        <v>1327</v>
      </c>
      <c r="E452" s="450" t="s">
        <v>1165</v>
      </c>
      <c r="F452" s="451">
        <v>0</v>
      </c>
      <c r="H452" s="441" t="s">
        <v>1329</v>
      </c>
      <c r="I452" s="441" t="s">
        <v>1330</v>
      </c>
      <c r="J452" s="441" t="b">
        <f t="shared" si="11"/>
        <v>0</v>
      </c>
    </row>
    <row r="453" spans="1:10" hidden="1" x14ac:dyDescent="0.25">
      <c r="A453" s="441" t="str">
        <f t="shared" si="12"/>
        <v>Residential_Building Shell_Ceiling/Attic Insulation #1 (Electric Heat)_BTU Impact_New_Fossil Fuel</v>
      </c>
      <c r="B453" t="s">
        <v>1095</v>
      </c>
      <c r="C453" t="s">
        <v>1099</v>
      </c>
      <c r="D453" t="s">
        <v>1327</v>
      </c>
      <c r="E453" s="450" t="s">
        <v>1166</v>
      </c>
      <c r="F453" s="451">
        <v>0</v>
      </c>
      <c r="H453" s="441" t="s">
        <v>1329</v>
      </c>
      <c r="I453" s="441" t="s">
        <v>1330</v>
      </c>
      <c r="J453" s="441" t="b">
        <f t="shared" si="11"/>
        <v>0</v>
      </c>
    </row>
    <row r="454" spans="1:10" hidden="1" x14ac:dyDescent="0.25">
      <c r="A454" s="441" t="str">
        <f t="shared" si="12"/>
        <v>Residential_Building Shell_Ceiling/Attic Insulation #1 (Electric Heat)_BTU Impact_New_Winter Electricity</v>
      </c>
      <c r="B454" t="s">
        <v>1095</v>
      </c>
      <c r="C454" t="s">
        <v>1099</v>
      </c>
      <c r="D454" t="s">
        <v>1327</v>
      </c>
      <c r="E454" s="450" t="s">
        <v>1167</v>
      </c>
      <c r="F454" s="451" t="e">
        <f>-F415*3412</f>
        <v>#DIV/0!</v>
      </c>
      <c r="H454" s="441" t="s">
        <v>1329</v>
      </c>
      <c r="I454" s="441" t="s">
        <v>1330</v>
      </c>
      <c r="J454" s="441" t="b">
        <f t="shared" si="11"/>
        <v>1</v>
      </c>
    </row>
    <row r="455" spans="1:10" hidden="1" x14ac:dyDescent="0.25">
      <c r="A455" s="441" t="str">
        <f t="shared" si="12"/>
        <v>Residential_Building Shell_Ceiling/Attic Insulation #1 (Electric Heat)_BTU Impact_New_Summer Electricity</v>
      </c>
      <c r="B455" t="s">
        <v>1095</v>
      </c>
      <c r="C455" t="s">
        <v>1099</v>
      </c>
      <c r="D455" t="s">
        <v>1327</v>
      </c>
      <c r="E455" s="450" t="s">
        <v>1168</v>
      </c>
      <c r="F455" s="451" t="e">
        <f>-F402*3412</f>
        <v>#DIV/0!</v>
      </c>
      <c r="H455" s="441" t="s">
        <v>1329</v>
      </c>
      <c r="I455" s="441" t="s">
        <v>1330</v>
      </c>
      <c r="J455" s="441" t="b">
        <f t="shared" si="11"/>
        <v>1</v>
      </c>
    </row>
    <row r="456" spans="1:10" hidden="1" x14ac:dyDescent="0.25">
      <c r="A456" s="441" t="str">
        <f t="shared" si="12"/>
        <v>Residential_Building Shell_Ceiling/Attic Insulation #1 (Electric Heat)_</v>
      </c>
      <c r="B456" t="s">
        <v>1095</v>
      </c>
      <c r="C456" t="s">
        <v>1099</v>
      </c>
      <c r="D456" t="s">
        <v>1327</v>
      </c>
      <c r="H456" s="441" t="s">
        <v>1329</v>
      </c>
      <c r="I456" s="441" t="s">
        <v>1330</v>
      </c>
      <c r="J456" s="441" t="b">
        <f t="shared" si="11"/>
        <v>0</v>
      </c>
    </row>
    <row r="457" spans="1:10" hidden="1" x14ac:dyDescent="0.25">
      <c r="A457" s="441" t="str">
        <f t="shared" si="12"/>
        <v>Residential_Building Shell_Ceiling/Attic Insulation #2 (Electric Heat)_R_old</v>
      </c>
      <c r="B457" t="s">
        <v>1095</v>
      </c>
      <c r="C457" t="s">
        <v>1099</v>
      </c>
      <c r="D457" t="s">
        <v>1339</v>
      </c>
      <c r="E457" s="444" t="s">
        <v>1328</v>
      </c>
      <c r="F457" s="454">
        <f>[18]Dashboard_FS!$O$16</f>
        <v>0</v>
      </c>
      <c r="G457" s="441" t="s">
        <v>1116</v>
      </c>
      <c r="H457" s="441" t="s">
        <v>1329</v>
      </c>
      <c r="I457" s="441" t="s">
        <v>1330</v>
      </c>
      <c r="J457" s="441" t="b">
        <f t="shared" si="11"/>
        <v>1</v>
      </c>
    </row>
    <row r="458" spans="1:10" hidden="1" x14ac:dyDescent="0.25">
      <c r="A458" s="441" t="str">
        <f t="shared" si="12"/>
        <v>Residential_Building Shell_Ceiling/Attic Insulation #2 (Electric Heat)_R_attic</v>
      </c>
      <c r="B458" t="s">
        <v>1095</v>
      </c>
      <c r="C458" t="s">
        <v>1099</v>
      </c>
      <c r="D458" t="s">
        <v>1339</v>
      </c>
      <c r="E458" s="444" t="s">
        <v>1331</v>
      </c>
      <c r="F458" s="454">
        <f>[18]Dashboard_FS!$P$16</f>
        <v>0</v>
      </c>
      <c r="G458" s="441" t="s">
        <v>1116</v>
      </c>
      <c r="H458" s="441" t="s">
        <v>1329</v>
      </c>
      <c r="I458" s="441" t="s">
        <v>1330</v>
      </c>
      <c r="J458" s="441" t="b">
        <f t="shared" si="11"/>
        <v>1</v>
      </c>
    </row>
    <row r="459" spans="1:10" hidden="1" x14ac:dyDescent="0.25">
      <c r="A459" s="441" t="str">
        <f t="shared" si="12"/>
        <v>Residential_Building Shell_Ceiling/Attic Insulation #2 (Electric Heat)_A_attic</v>
      </c>
      <c r="B459" t="s">
        <v>1095</v>
      </c>
      <c r="C459" t="s">
        <v>1099</v>
      </c>
      <c r="D459" t="s">
        <v>1339</v>
      </c>
      <c r="E459" s="442" t="s">
        <v>1332</v>
      </c>
      <c r="F459" s="453">
        <f>[18]Dashboard_FS!$O$5</f>
        <v>0</v>
      </c>
      <c r="G459" s="441" t="s">
        <v>1116</v>
      </c>
      <c r="H459" s="441" t="s">
        <v>1329</v>
      </c>
      <c r="I459" s="441" t="s">
        <v>1330</v>
      </c>
      <c r="J459" s="441" t="b">
        <f t="shared" si="11"/>
        <v>1</v>
      </c>
    </row>
    <row r="460" spans="1:10" hidden="1" x14ac:dyDescent="0.25">
      <c r="A460" s="441" t="str">
        <f t="shared" si="12"/>
        <v>Residential_Building Shell_Ceiling/Attic Insulation #2 (Electric Heat)_Framing_factor_attic</v>
      </c>
      <c r="B460" t="s">
        <v>1095</v>
      </c>
      <c r="C460" t="s">
        <v>1099</v>
      </c>
      <c r="D460" t="s">
        <v>1339</v>
      </c>
      <c r="E460" s="444" t="s">
        <v>1333</v>
      </c>
      <c r="F460" s="454">
        <v>7.0000000000000007E-2</v>
      </c>
      <c r="H460" s="441" t="s">
        <v>1329</v>
      </c>
      <c r="I460" s="441" t="s">
        <v>1330</v>
      </c>
      <c r="J460" s="441" t="b">
        <f t="shared" si="11"/>
        <v>0</v>
      </c>
    </row>
    <row r="461" spans="1:10" hidden="1" x14ac:dyDescent="0.25">
      <c r="A461" s="441" t="str">
        <f t="shared" si="12"/>
        <v>Residential_Building Shell_Ceiling/Attic Insulation #2 (Electric Heat)_24</v>
      </c>
      <c r="B461" t="s">
        <v>1095</v>
      </c>
      <c r="C461" t="s">
        <v>1099</v>
      </c>
      <c r="D461" t="s">
        <v>1339</v>
      </c>
      <c r="E461" s="444">
        <v>24</v>
      </c>
      <c r="F461" s="454">
        <v>24</v>
      </c>
      <c r="H461" s="441" t="s">
        <v>1329</v>
      </c>
      <c r="I461" s="441" t="s">
        <v>1330</v>
      </c>
      <c r="J461" s="441" t="b">
        <f t="shared" si="11"/>
        <v>0</v>
      </c>
    </row>
    <row r="462" spans="1:10" hidden="1" x14ac:dyDescent="0.25">
      <c r="A462" s="441" t="str">
        <f t="shared" si="12"/>
        <v>Residential_Building Shell_Ceiling/Attic Insulation #2 (Electric Heat)_CDD</v>
      </c>
      <c r="B462" t="s">
        <v>1095</v>
      </c>
      <c r="C462" t="s">
        <v>1099</v>
      </c>
      <c r="D462" t="s">
        <v>1339</v>
      </c>
      <c r="E462" s="444" t="s">
        <v>1296</v>
      </c>
      <c r="F462" s="464">
        <f>INDEX('[18]CZ Inputs'!G:G,MATCH(A462&amp;"_"&amp;[18]Dashboard_EE!$K$3,'[18]CZ Inputs'!A:A,0))</f>
        <v>1183</v>
      </c>
      <c r="G462" s="441" t="s">
        <v>1297</v>
      </c>
      <c r="H462" s="441" t="s">
        <v>1329</v>
      </c>
      <c r="I462" s="441" t="s">
        <v>1330</v>
      </c>
      <c r="J462" s="441" t="b">
        <f t="shared" si="11"/>
        <v>1</v>
      </c>
    </row>
    <row r="463" spans="1:10" hidden="1" x14ac:dyDescent="0.25">
      <c r="A463" s="441" t="str">
        <f t="shared" si="12"/>
        <v>Residential_Building Shell_Ceiling/Attic Insulation #2 (Electric Heat)_DUA</v>
      </c>
      <c r="B463" t="s">
        <v>1095</v>
      </c>
      <c r="C463" t="s">
        <v>1099</v>
      </c>
      <c r="D463" t="s">
        <v>1339</v>
      </c>
      <c r="E463" s="444" t="s">
        <v>1298</v>
      </c>
      <c r="F463" s="454">
        <v>0.75</v>
      </c>
      <c r="H463" s="441" t="s">
        <v>1329</v>
      </c>
      <c r="I463" s="441" t="s">
        <v>1330</v>
      </c>
      <c r="J463" s="441" t="b">
        <f t="shared" si="11"/>
        <v>0</v>
      </c>
    </row>
    <row r="464" spans="1:10" hidden="1" x14ac:dyDescent="0.25">
      <c r="A464" s="441" t="str">
        <f t="shared" si="12"/>
        <v>Residential_Building Shell_Ceiling/Attic Insulation #2 (Electric Heat)_1000</v>
      </c>
      <c r="B464" t="s">
        <v>1095</v>
      </c>
      <c r="C464" t="s">
        <v>1099</v>
      </c>
      <c r="D464" t="s">
        <v>1339</v>
      </c>
      <c r="E464" s="444">
        <v>1000</v>
      </c>
      <c r="F464" s="454">
        <v>1000</v>
      </c>
      <c r="H464" s="441" t="s">
        <v>1329</v>
      </c>
      <c r="I464" s="441" t="s">
        <v>1330</v>
      </c>
      <c r="J464" s="441" t="b">
        <f t="shared" si="11"/>
        <v>0</v>
      </c>
    </row>
    <row r="465" spans="1:10" hidden="1" x14ac:dyDescent="0.25">
      <c r="A465" s="441" t="str">
        <f t="shared" si="12"/>
        <v>Residential_Building Shell_Ceiling/Attic Insulation #2 (Electric Heat)_ηCool</v>
      </c>
      <c r="B465" t="s">
        <v>1095</v>
      </c>
      <c r="C465" t="s">
        <v>1099</v>
      </c>
      <c r="D465" t="s">
        <v>1339</v>
      </c>
      <c r="E465" s="442" t="s">
        <v>1299</v>
      </c>
      <c r="F465" s="453">
        <f>[18]Dashboard_FS!$K$14</f>
        <v>0</v>
      </c>
      <c r="G465" s="441" t="s">
        <v>1116</v>
      </c>
      <c r="H465" s="441" t="s">
        <v>1329</v>
      </c>
      <c r="I465" s="441" t="s">
        <v>1330</v>
      </c>
      <c r="J465" s="441" t="b">
        <f t="shared" si="11"/>
        <v>1</v>
      </c>
    </row>
    <row r="466" spans="1:10" hidden="1" x14ac:dyDescent="0.25">
      <c r="A466" s="441" t="str">
        <f t="shared" si="12"/>
        <v>Residential_Building Shell_Ceiling/Attic Insulation #2 (Electric Heat)_ηCool_Mid-Life_Adj</v>
      </c>
      <c r="B466" t="s">
        <v>1095</v>
      </c>
      <c r="C466" t="s">
        <v>1099</v>
      </c>
      <c r="D466" t="s">
        <v>1339</v>
      </c>
      <c r="E466" s="442" t="s">
        <v>1300</v>
      </c>
      <c r="F466" s="453">
        <f>[18]Dashboard_FS!$K$14</f>
        <v>0</v>
      </c>
      <c r="G466" s="441" t="s">
        <v>1116</v>
      </c>
      <c r="H466" s="441" t="s">
        <v>1329</v>
      </c>
      <c r="I466" s="441" t="s">
        <v>1330</v>
      </c>
      <c r="J466" s="441" t="b">
        <f t="shared" si="11"/>
        <v>1</v>
      </c>
    </row>
    <row r="467" spans="1:10" hidden="1" x14ac:dyDescent="0.25">
      <c r="A467" s="441" t="str">
        <f t="shared" si="12"/>
        <v>Residential_Building Shell_Ceiling/Attic Insulation #2 (Electric Heat)_ADJAtticCool</v>
      </c>
      <c r="B467" t="s">
        <v>1095</v>
      </c>
      <c r="C467" t="s">
        <v>1099</v>
      </c>
      <c r="D467" t="s">
        <v>1339</v>
      </c>
      <c r="E467" s="444" t="s">
        <v>1334</v>
      </c>
      <c r="F467" s="464">
        <v>1.1399999999999999</v>
      </c>
      <c r="H467" s="441" t="s">
        <v>1329</v>
      </c>
      <c r="I467" s="441" t="s">
        <v>1330</v>
      </c>
      <c r="J467" s="441" t="b">
        <f t="shared" si="11"/>
        <v>0</v>
      </c>
    </row>
    <row r="468" spans="1:10" hidden="1" x14ac:dyDescent="0.25">
      <c r="A468" s="441" t="str">
        <f t="shared" si="12"/>
        <v>Residential_Building Shell_Ceiling/Attic Insulation #2 (Electric Heat)_IENetCorrection</v>
      </c>
      <c r="B468" t="s">
        <v>1095</v>
      </c>
      <c r="C468" t="s">
        <v>1099</v>
      </c>
      <c r="D468" t="s">
        <v>1339</v>
      </c>
      <c r="E468" s="444" t="s">
        <v>1304</v>
      </c>
      <c r="F468" s="454">
        <f>IF([18]Dashboard_FS!$K$20="Yes",110%,100%)</f>
        <v>1.1000000000000001</v>
      </c>
      <c r="H468" s="441" t="s">
        <v>1329</v>
      </c>
      <c r="I468" s="441" t="s">
        <v>1330</v>
      </c>
      <c r="J468" s="441" t="b">
        <f t="shared" si="11"/>
        <v>1</v>
      </c>
    </row>
    <row r="469" spans="1:10" hidden="1" x14ac:dyDescent="0.25">
      <c r="A469" s="441" t="str">
        <f t="shared" si="12"/>
        <v>Residential_Building Shell_Ceiling/Attic Insulation #2 (Electric Heat)_%Cool</v>
      </c>
      <c r="B469" t="s">
        <v>1095</v>
      </c>
      <c r="C469" t="s">
        <v>1099</v>
      </c>
      <c r="D469" t="s">
        <v>1339</v>
      </c>
      <c r="E469" s="444" t="s">
        <v>1272</v>
      </c>
      <c r="F469" s="454">
        <v>1</v>
      </c>
      <c r="H469" s="441" t="s">
        <v>1329</v>
      </c>
      <c r="I469" s="441" t="s">
        <v>1330</v>
      </c>
      <c r="J469" s="441" t="b">
        <f t="shared" si="11"/>
        <v>0</v>
      </c>
    </row>
    <row r="470" spans="1:10" hidden="1" x14ac:dyDescent="0.25">
      <c r="A470" s="441" t="str">
        <f t="shared" si="12"/>
        <v>Residential_Building Shell_Ceiling/Attic Insulation #2 (Electric Heat)_Delta_kWh_cooling</v>
      </c>
      <c r="B470" t="s">
        <v>1095</v>
      </c>
      <c r="C470" t="s">
        <v>1099</v>
      </c>
      <c r="D470" t="s">
        <v>1339</v>
      </c>
      <c r="E470" s="442" t="s">
        <v>1305</v>
      </c>
      <c r="F470" s="453" t="e">
        <f>((((1/ F457 - 1/ F458) * F459 * (1 - F460)) * F461 * F462 * F463) / (F464 * F465)) * F467 * F468 * F469</f>
        <v>#DIV/0!</v>
      </c>
      <c r="H470" s="441" t="s">
        <v>1329</v>
      </c>
      <c r="I470" s="441" t="s">
        <v>1330</v>
      </c>
      <c r="J470" s="441" t="b">
        <f t="shared" si="11"/>
        <v>1</v>
      </c>
    </row>
    <row r="471" spans="1:10" hidden="1" x14ac:dyDescent="0.25">
      <c r="A471" s="441" t="str">
        <f t="shared" si="12"/>
        <v>Residential_Building Shell_Ceiling/Attic Insulation #2 (Electric Heat)_Delta_kWh_cooling_Mid-Life_Adj</v>
      </c>
      <c r="B471" t="s">
        <v>1095</v>
      </c>
      <c r="C471" t="s">
        <v>1099</v>
      </c>
      <c r="D471" t="s">
        <v>1339</v>
      </c>
      <c r="E471" s="442" t="s">
        <v>1306</v>
      </c>
      <c r="F471" s="453" t="e">
        <f>((((1/ F457 - 1/ F458) * F459 * (1 - F460)) * F461 * F462 * F463) / (F464 * F466)) * F467 * F468 * F469</f>
        <v>#DIV/0!</v>
      </c>
      <c r="H471" s="441" t="s">
        <v>1329</v>
      </c>
      <c r="I471" s="441" t="s">
        <v>1330</v>
      </c>
      <c r="J471" s="441" t="b">
        <f t="shared" si="11"/>
        <v>1</v>
      </c>
    </row>
    <row r="472" spans="1:10" hidden="1" x14ac:dyDescent="0.25">
      <c r="A472" s="441" t="str">
        <f t="shared" si="12"/>
        <v>Residential_Building Shell_Ceiling/Attic Insulation #2 (Electric Heat)_R_old</v>
      </c>
      <c r="B472" t="s">
        <v>1095</v>
      </c>
      <c r="C472" t="s">
        <v>1099</v>
      </c>
      <c r="D472" t="s">
        <v>1339</v>
      </c>
      <c r="E472" s="444" t="s">
        <v>1328</v>
      </c>
      <c r="F472" s="454">
        <f>[18]Dashboard_FS!$O$16</f>
        <v>0</v>
      </c>
      <c r="G472" s="441" t="s">
        <v>1116</v>
      </c>
      <c r="H472" s="441" t="s">
        <v>1329</v>
      </c>
      <c r="I472" s="441" t="s">
        <v>1330</v>
      </c>
      <c r="J472" s="441" t="b">
        <f t="shared" si="11"/>
        <v>1</v>
      </c>
    </row>
    <row r="473" spans="1:10" hidden="1" x14ac:dyDescent="0.25">
      <c r="A473" s="441" t="str">
        <f t="shared" si="12"/>
        <v>Residential_Building Shell_Ceiling/Attic Insulation #2 (Electric Heat)_R_attic</v>
      </c>
      <c r="B473" t="s">
        <v>1095</v>
      </c>
      <c r="C473" t="s">
        <v>1099</v>
      </c>
      <c r="D473" t="s">
        <v>1339</v>
      </c>
      <c r="E473" s="444" t="s">
        <v>1331</v>
      </c>
      <c r="F473" s="454">
        <f>[18]Dashboard_FS!$P$16</f>
        <v>0</v>
      </c>
      <c r="G473" s="441" t="s">
        <v>1116</v>
      </c>
      <c r="H473" s="441" t="s">
        <v>1329</v>
      </c>
      <c r="I473" s="441" t="s">
        <v>1330</v>
      </c>
      <c r="J473" s="441" t="b">
        <f t="shared" si="11"/>
        <v>1</v>
      </c>
    </row>
    <row r="474" spans="1:10" hidden="1" x14ac:dyDescent="0.25">
      <c r="A474" s="441" t="str">
        <f t="shared" si="12"/>
        <v>Residential_Building Shell_Ceiling/Attic Insulation #2 (Electric Heat)_A_attic</v>
      </c>
      <c r="B474" t="s">
        <v>1095</v>
      </c>
      <c r="C474" t="s">
        <v>1099</v>
      </c>
      <c r="D474" t="s">
        <v>1339</v>
      </c>
      <c r="E474" s="442" t="s">
        <v>1332</v>
      </c>
      <c r="F474" s="453">
        <f>[18]Dashboard_FS!$O$5</f>
        <v>0</v>
      </c>
      <c r="G474" s="441" t="s">
        <v>1116</v>
      </c>
      <c r="H474" s="441" t="s">
        <v>1329</v>
      </c>
      <c r="I474" s="441" t="s">
        <v>1330</v>
      </c>
      <c r="J474" s="441" t="b">
        <f t="shared" si="11"/>
        <v>1</v>
      </c>
    </row>
    <row r="475" spans="1:10" hidden="1" x14ac:dyDescent="0.25">
      <c r="A475" s="441" t="str">
        <f t="shared" si="12"/>
        <v>Residential_Building Shell_Ceiling/Attic Insulation #2 (Electric Heat)_Framing_factor_attic</v>
      </c>
      <c r="B475" t="s">
        <v>1095</v>
      </c>
      <c r="C475" t="s">
        <v>1099</v>
      </c>
      <c r="D475" t="s">
        <v>1339</v>
      </c>
      <c r="E475" s="444" t="s">
        <v>1333</v>
      </c>
      <c r="F475" s="454">
        <v>7.0000000000000007E-2</v>
      </c>
      <c r="H475" s="441" t="s">
        <v>1329</v>
      </c>
      <c r="I475" s="441" t="s">
        <v>1330</v>
      </c>
      <c r="J475" s="441" t="b">
        <f t="shared" si="11"/>
        <v>0</v>
      </c>
    </row>
    <row r="476" spans="1:10" hidden="1" x14ac:dyDescent="0.25">
      <c r="A476" s="441" t="str">
        <f t="shared" si="12"/>
        <v>Residential_Building Shell_Ceiling/Attic Insulation #2 (Electric Heat)_24</v>
      </c>
      <c r="B476" t="s">
        <v>1095</v>
      </c>
      <c r="C476" t="s">
        <v>1099</v>
      </c>
      <c r="D476" t="s">
        <v>1339</v>
      </c>
      <c r="E476" s="444">
        <v>24</v>
      </c>
      <c r="F476" s="454">
        <v>24</v>
      </c>
      <c r="H476" s="441" t="s">
        <v>1329</v>
      </c>
      <c r="I476" s="441" t="s">
        <v>1330</v>
      </c>
      <c r="J476" s="441" t="b">
        <f t="shared" si="11"/>
        <v>0</v>
      </c>
    </row>
    <row r="477" spans="1:10" hidden="1" x14ac:dyDescent="0.25">
      <c r="A477" s="441" t="str">
        <f t="shared" si="12"/>
        <v>Residential_Building Shell_Ceiling/Attic Insulation #2 (Electric Heat)_HDD</v>
      </c>
      <c r="B477" t="s">
        <v>1095</v>
      </c>
      <c r="C477" t="s">
        <v>1099</v>
      </c>
      <c r="D477" t="s">
        <v>1339</v>
      </c>
      <c r="E477" s="444" t="s">
        <v>1308</v>
      </c>
      <c r="F477" s="464">
        <f>INDEX('[18]CZ Inputs'!G:G,MATCH(A477&amp;"_"&amp;[18]Dashboard_EE!$K$3,'[18]CZ Inputs'!A:A,0))</f>
        <v>4266</v>
      </c>
      <c r="G477" s="441" t="s">
        <v>1297</v>
      </c>
      <c r="H477" s="441" t="s">
        <v>1329</v>
      </c>
      <c r="I477" s="441" t="s">
        <v>1330</v>
      </c>
      <c r="J477" s="441" t="b">
        <f t="shared" si="11"/>
        <v>1</v>
      </c>
    </row>
    <row r="478" spans="1:10" hidden="1" x14ac:dyDescent="0.25">
      <c r="A478" s="441" t="str">
        <f t="shared" si="12"/>
        <v>Residential_Building Shell_Ceiling/Attic Insulation #2 (Electric Heat)_ηHeat</v>
      </c>
      <c r="B478" t="s">
        <v>1095</v>
      </c>
      <c r="C478" t="s">
        <v>1099</v>
      </c>
      <c r="D478" t="s">
        <v>1339</v>
      </c>
      <c r="E478" s="442" t="s">
        <v>1309</v>
      </c>
      <c r="F478" s="453">
        <f>[18]Dashboard_FS!$K$6</f>
        <v>0</v>
      </c>
      <c r="G478" s="441" t="s">
        <v>1116</v>
      </c>
      <c r="H478" s="441" t="s">
        <v>1329</v>
      </c>
      <c r="I478" s="441" t="s">
        <v>1330</v>
      </c>
      <c r="J478" s="441" t="b">
        <f t="shared" si="11"/>
        <v>1</v>
      </c>
    </row>
    <row r="479" spans="1:10" hidden="1" x14ac:dyDescent="0.25">
      <c r="A479" s="441" t="str">
        <f t="shared" si="12"/>
        <v>Residential_Building Shell_Ceiling/Attic Insulation #2 (Electric Heat)_ηHeat_Mid-Life_Adj</v>
      </c>
      <c r="B479" t="s">
        <v>1095</v>
      </c>
      <c r="C479" t="s">
        <v>1099</v>
      </c>
      <c r="D479" t="s">
        <v>1339</v>
      </c>
      <c r="E479" s="442" t="s">
        <v>1310</v>
      </c>
      <c r="F479" s="453">
        <f>[18]Dashboard_FS!$K$6</f>
        <v>0</v>
      </c>
      <c r="G479" s="441" t="s">
        <v>1116</v>
      </c>
      <c r="H479" s="441" t="s">
        <v>1329</v>
      </c>
      <c r="I479" s="441" t="s">
        <v>1330</v>
      </c>
      <c r="J479" s="441" t="b">
        <f t="shared" si="11"/>
        <v>1</v>
      </c>
    </row>
    <row r="480" spans="1:10" hidden="1" x14ac:dyDescent="0.25">
      <c r="A480" s="441" t="str">
        <f t="shared" si="12"/>
        <v>Residential_Building Shell_Ceiling/Attic Insulation #2 (Electric Heat)_3412</v>
      </c>
      <c r="B480" t="s">
        <v>1095</v>
      </c>
      <c r="C480" t="s">
        <v>1099</v>
      </c>
      <c r="D480" t="s">
        <v>1339</v>
      </c>
      <c r="E480" s="444">
        <v>3412</v>
      </c>
      <c r="F480" s="454">
        <v>3412</v>
      </c>
      <c r="H480" s="441" t="s">
        <v>1329</v>
      </c>
      <c r="I480" s="441" t="s">
        <v>1330</v>
      </c>
      <c r="J480" s="441" t="b">
        <f t="shared" si="11"/>
        <v>0</v>
      </c>
    </row>
    <row r="481" spans="1:10" hidden="1" x14ac:dyDescent="0.25">
      <c r="A481" s="441" t="str">
        <f t="shared" si="12"/>
        <v>Residential_Building Shell_Ceiling/Attic Insulation #2 (Electric Heat)_ADJAtticElectricHeat</v>
      </c>
      <c r="B481" t="s">
        <v>1095</v>
      </c>
      <c r="C481" t="s">
        <v>1099</v>
      </c>
      <c r="D481" t="s">
        <v>1339</v>
      </c>
      <c r="E481" s="444" t="s">
        <v>1335</v>
      </c>
      <c r="F481" s="464">
        <v>0.63</v>
      </c>
      <c r="H481" s="441" t="s">
        <v>1329</v>
      </c>
      <c r="I481" s="441" t="s">
        <v>1330</v>
      </c>
      <c r="J481" s="441" t="b">
        <f t="shared" si="11"/>
        <v>0</v>
      </c>
    </row>
    <row r="482" spans="1:10" hidden="1" x14ac:dyDescent="0.25">
      <c r="A482" s="441" t="str">
        <f t="shared" si="12"/>
        <v>Residential_Building Shell_Ceiling/Attic Insulation #2 (Electric Heat)_%ElectricHeat</v>
      </c>
      <c r="B482" t="s">
        <v>1095</v>
      </c>
      <c r="C482" t="s">
        <v>1099</v>
      </c>
      <c r="D482" t="s">
        <v>1339</v>
      </c>
      <c r="E482" s="444" t="s">
        <v>1277</v>
      </c>
      <c r="F482" s="454">
        <v>1</v>
      </c>
      <c r="G482" s="441" t="s">
        <v>1311</v>
      </c>
      <c r="H482" s="441" t="s">
        <v>1329</v>
      </c>
      <c r="I482" s="441" t="s">
        <v>1330</v>
      </c>
      <c r="J482" s="441" t="b">
        <f t="shared" si="11"/>
        <v>0</v>
      </c>
    </row>
    <row r="483" spans="1:10" hidden="1" x14ac:dyDescent="0.25">
      <c r="A483" s="441" t="str">
        <f t="shared" si="12"/>
        <v>Residential_Building Shell_Ceiling/Attic Insulation #2 (Electric Heat)_Delta_kWh_heatingElectric</v>
      </c>
      <c r="B483" t="s">
        <v>1095</v>
      </c>
      <c r="C483" t="s">
        <v>1099</v>
      </c>
      <c r="D483" t="s">
        <v>1339</v>
      </c>
      <c r="E483" s="442" t="s">
        <v>1312</v>
      </c>
      <c r="F483" s="453" t="e">
        <f>((((1/ F472 - 1/ F473) * F474 * (1 - F475)) * F476 * F477) / (F478 * F480)) * F481 * F482</f>
        <v>#DIV/0!</v>
      </c>
      <c r="H483" s="441" t="s">
        <v>1329</v>
      </c>
      <c r="I483" s="441" t="s">
        <v>1330</v>
      </c>
      <c r="J483" s="441" t="b">
        <f t="shared" si="11"/>
        <v>1</v>
      </c>
    </row>
    <row r="484" spans="1:10" hidden="1" x14ac:dyDescent="0.25">
      <c r="A484" s="441" t="str">
        <f t="shared" si="12"/>
        <v>Residential_Building Shell_Ceiling/Attic Insulation #2 (Electric Heat)_Delta_kWh_heatingElectric_Mid-Life_Adj</v>
      </c>
      <c r="B484" t="s">
        <v>1095</v>
      </c>
      <c r="C484" t="s">
        <v>1099</v>
      </c>
      <c r="D484" t="s">
        <v>1339</v>
      </c>
      <c r="E484" s="442" t="s">
        <v>1313</v>
      </c>
      <c r="F484" s="453" t="e">
        <f>((((1/ F472 - 1/ F473) * F474 * (1 - F475)) * F476 * F477) / (F479 * F480)) * F481 * F482</f>
        <v>#DIV/0!</v>
      </c>
      <c r="H484" s="441" t="s">
        <v>1329</v>
      </c>
      <c r="I484" s="441" t="s">
        <v>1330</v>
      </c>
      <c r="J484" s="441" t="b">
        <f t="shared" si="11"/>
        <v>1</v>
      </c>
    </row>
    <row r="485" spans="1:10" hidden="1" x14ac:dyDescent="0.25">
      <c r="A485" s="441" t="str">
        <f t="shared" si="12"/>
        <v>Residential_Building Shell_Ceiling/Attic Insulation #2 (Electric Heat)_Fe</v>
      </c>
      <c r="B485" t="s">
        <v>1095</v>
      </c>
      <c r="C485" t="s">
        <v>1099</v>
      </c>
      <c r="D485" t="s">
        <v>1339</v>
      </c>
      <c r="E485" s="444" t="s">
        <v>1127</v>
      </c>
      <c r="F485" s="454">
        <v>3.1399999999999997E-2</v>
      </c>
      <c r="H485" s="441" t="s">
        <v>1329</v>
      </c>
      <c r="I485" s="441" t="s">
        <v>1330</v>
      </c>
      <c r="J485" s="441" t="b">
        <f t="shared" si="11"/>
        <v>0</v>
      </c>
    </row>
    <row r="486" spans="1:10" hidden="1" x14ac:dyDescent="0.25">
      <c r="A486" s="441" t="str">
        <f t="shared" si="12"/>
        <v>Residential_Building Shell_Ceiling/Attic Insulation #2 (Electric Heat)_29.3</v>
      </c>
      <c r="B486" t="s">
        <v>1095</v>
      </c>
      <c r="C486" t="s">
        <v>1099</v>
      </c>
      <c r="D486" t="s">
        <v>1339</v>
      </c>
      <c r="E486" s="444">
        <v>29.3</v>
      </c>
      <c r="F486" s="454">
        <v>29.3</v>
      </c>
      <c r="H486" s="441" t="s">
        <v>1329</v>
      </c>
      <c r="I486" s="441" t="s">
        <v>1330</v>
      </c>
      <c r="J486" s="441" t="b">
        <f t="shared" si="11"/>
        <v>0</v>
      </c>
    </row>
    <row r="487" spans="1:10" hidden="1" x14ac:dyDescent="0.25">
      <c r="A487" s="441" t="str">
        <f t="shared" si="12"/>
        <v>Residential_Building Shell_Ceiling/Attic Insulation #2 (Electric Heat)_ADJAtticHeatFan</v>
      </c>
      <c r="B487" t="s">
        <v>1095</v>
      </c>
      <c r="C487" t="s">
        <v>1099</v>
      </c>
      <c r="D487" t="s">
        <v>1339</v>
      </c>
      <c r="E487" s="444" t="s">
        <v>1336</v>
      </c>
      <c r="F487" s="464">
        <v>1.1299999999999999</v>
      </c>
      <c r="H487" s="441" t="s">
        <v>1329</v>
      </c>
      <c r="I487" s="441" t="s">
        <v>1330</v>
      </c>
      <c r="J487" s="441" t="b">
        <f t="shared" si="11"/>
        <v>0</v>
      </c>
    </row>
    <row r="488" spans="1:10" hidden="1" x14ac:dyDescent="0.25">
      <c r="A488" s="441" t="str">
        <f t="shared" si="12"/>
        <v>Residential_Building Shell_Ceiling/Attic Insulation #2 (Electric Heat)_IENetCorrection</v>
      </c>
      <c r="B488" t="s">
        <v>1095</v>
      </c>
      <c r="C488" t="s">
        <v>1099</v>
      </c>
      <c r="D488" t="s">
        <v>1339</v>
      </c>
      <c r="E488" s="444" t="s">
        <v>1304</v>
      </c>
      <c r="F488" s="454">
        <f>IF([18]Dashboard_FS!$K$20="Yes",110%,100%)</f>
        <v>1.1000000000000001</v>
      </c>
      <c r="H488" s="441" t="s">
        <v>1329</v>
      </c>
      <c r="I488" s="441" t="s">
        <v>1330</v>
      </c>
      <c r="J488" s="441" t="b">
        <f t="shared" si="11"/>
        <v>1</v>
      </c>
    </row>
    <row r="489" spans="1:10" hidden="1" x14ac:dyDescent="0.25">
      <c r="A489" s="441" t="str">
        <f t="shared" si="12"/>
        <v>Residential_Building Shell_Ceiling/Attic Insulation #2 (Electric Heat)_Delta_kWh_heatingGas</v>
      </c>
      <c r="B489" t="s">
        <v>1095</v>
      </c>
      <c r="C489" t="s">
        <v>1099</v>
      </c>
      <c r="D489" t="s">
        <v>1339</v>
      </c>
      <c r="E489" s="442" t="s">
        <v>1315</v>
      </c>
      <c r="F489" s="453" t="e">
        <f xml:space="preserve"> F507 * F485 * F486 * F487 * F488</f>
        <v>#DIV/0!</v>
      </c>
      <c r="H489" s="441" t="s">
        <v>1329</v>
      </c>
      <c r="I489" s="441" t="s">
        <v>1330</v>
      </c>
      <c r="J489" s="441" t="b">
        <f t="shared" si="11"/>
        <v>1</v>
      </c>
    </row>
    <row r="490" spans="1:10" hidden="1" x14ac:dyDescent="0.25">
      <c r="A490" s="441" t="str">
        <f t="shared" si="12"/>
        <v>Residential_Building Shell_Ceiling/Attic Insulation #2 (Electric Heat)_Delta_kWh_heatingGas_Mid-Life_Adj</v>
      </c>
      <c r="B490" t="s">
        <v>1095</v>
      </c>
      <c r="C490" t="s">
        <v>1099</v>
      </c>
      <c r="D490" t="s">
        <v>1339</v>
      </c>
      <c r="E490" s="442" t="s">
        <v>1316</v>
      </c>
      <c r="F490" s="453" t="e">
        <f xml:space="preserve"> F508 * F485 * F486 * F487 * F488</f>
        <v>#DIV/0!</v>
      </c>
      <c r="H490" s="441" t="s">
        <v>1329</v>
      </c>
      <c r="I490" s="441" t="s">
        <v>1330</v>
      </c>
      <c r="J490" s="441" t="b">
        <f t="shared" si="11"/>
        <v>1</v>
      </c>
    </row>
    <row r="491" spans="1:10" hidden="1" x14ac:dyDescent="0.25">
      <c r="A491" s="441" t="str">
        <f t="shared" si="12"/>
        <v>Residential_Building Shell_Ceiling/Attic Insulation #2 (Electric Heat)_FLH_cooling</v>
      </c>
      <c r="B491" t="s">
        <v>1095</v>
      </c>
      <c r="C491" t="s">
        <v>1099</v>
      </c>
      <c r="D491" t="s">
        <v>1339</v>
      </c>
      <c r="E491" s="444" t="s">
        <v>1317</v>
      </c>
      <c r="F491" s="464">
        <f>INDEX('[18]CZ Inputs'!G:G,MATCH(A491&amp;"_"&amp;[18]Dashboard_EE!$K$3,'[18]CZ Inputs'!A:A,0))</f>
        <v>779</v>
      </c>
      <c r="G491" s="441" t="s">
        <v>1297</v>
      </c>
      <c r="H491" s="441" t="s">
        <v>1329</v>
      </c>
      <c r="I491" s="441" t="s">
        <v>1330</v>
      </c>
      <c r="J491" s="441" t="b">
        <f t="shared" si="11"/>
        <v>1</v>
      </c>
    </row>
    <row r="492" spans="1:10" hidden="1" x14ac:dyDescent="0.25">
      <c r="A492" s="441" t="str">
        <f t="shared" si="12"/>
        <v>Residential_Building Shell_Ceiling/Attic Insulation #2 (Electric Heat)_CF</v>
      </c>
      <c r="B492" t="s">
        <v>1095</v>
      </c>
      <c r="C492" t="s">
        <v>1099</v>
      </c>
      <c r="D492" t="s">
        <v>1339</v>
      </c>
      <c r="E492" s="444" t="s">
        <v>1153</v>
      </c>
      <c r="F492" s="454">
        <v>0.68</v>
      </c>
      <c r="G492" s="441" t="s">
        <v>1195</v>
      </c>
      <c r="H492" s="441" t="s">
        <v>1329</v>
      </c>
      <c r="I492" s="441" t="s">
        <v>1330</v>
      </c>
      <c r="J492" s="441" t="b">
        <f t="shared" si="11"/>
        <v>0</v>
      </c>
    </row>
    <row r="493" spans="1:10" hidden="1" x14ac:dyDescent="0.25">
      <c r="A493" s="441" t="str">
        <f t="shared" si="12"/>
        <v>Residential_Building Shell_Ceiling/Attic Insulation #2 (Electric Heat)_Delta_kW</v>
      </c>
      <c r="B493" t="s">
        <v>1095</v>
      </c>
      <c r="C493" t="s">
        <v>1099</v>
      </c>
      <c r="D493" t="s">
        <v>1339</v>
      </c>
      <c r="E493" s="442" t="s">
        <v>1155</v>
      </c>
      <c r="F493" s="453" t="e">
        <f>(F470/F491)*F492</f>
        <v>#DIV/0!</v>
      </c>
      <c r="H493" s="441" t="s">
        <v>1329</v>
      </c>
      <c r="I493" s="441" t="s">
        <v>1330</v>
      </c>
      <c r="J493" s="441" t="b">
        <f t="shared" si="11"/>
        <v>1</v>
      </c>
    </row>
    <row r="494" spans="1:10" hidden="1" x14ac:dyDescent="0.25">
      <c r="A494" s="441" t="str">
        <f t="shared" si="12"/>
        <v>Residential_Building Shell_Ceiling/Attic Insulation #2 (Electric Heat)_Delta_kW_Mid-Life_Adj</v>
      </c>
      <c r="B494" t="s">
        <v>1095</v>
      </c>
      <c r="C494" t="s">
        <v>1099</v>
      </c>
      <c r="D494" t="s">
        <v>1339</v>
      </c>
      <c r="E494" s="442" t="s">
        <v>1318</v>
      </c>
      <c r="F494" s="453" t="e">
        <f>(F471/F491)*F492</f>
        <v>#DIV/0!</v>
      </c>
      <c r="H494" s="441" t="s">
        <v>1329</v>
      </c>
      <c r="I494" s="441" t="s">
        <v>1330</v>
      </c>
      <c r="J494" s="441" t="b">
        <f t="shared" si="11"/>
        <v>1</v>
      </c>
    </row>
    <row r="495" spans="1:10" hidden="1" x14ac:dyDescent="0.25">
      <c r="A495" s="441" t="str">
        <f t="shared" si="12"/>
        <v>Residential_Building Shell_Ceiling/Attic Insulation #2 (Electric Heat)_R_old</v>
      </c>
      <c r="B495" t="s">
        <v>1095</v>
      </c>
      <c r="C495" t="s">
        <v>1099</v>
      </c>
      <c r="D495" t="s">
        <v>1339</v>
      </c>
      <c r="E495" s="444" t="s">
        <v>1328</v>
      </c>
      <c r="F495" s="454">
        <f>[18]Dashboard_FS!$O$16</f>
        <v>0</v>
      </c>
      <c r="G495" s="441" t="s">
        <v>1116</v>
      </c>
      <c r="H495" s="441" t="s">
        <v>1329</v>
      </c>
      <c r="I495" s="441" t="s">
        <v>1330</v>
      </c>
      <c r="J495" s="441" t="b">
        <f t="shared" si="11"/>
        <v>1</v>
      </c>
    </row>
    <row r="496" spans="1:10" hidden="1" x14ac:dyDescent="0.25">
      <c r="A496" s="441" t="str">
        <f t="shared" si="12"/>
        <v>Residential_Building Shell_Ceiling/Attic Insulation #2 (Electric Heat)_R_attic</v>
      </c>
      <c r="B496" t="s">
        <v>1095</v>
      </c>
      <c r="C496" t="s">
        <v>1099</v>
      </c>
      <c r="D496" t="s">
        <v>1339</v>
      </c>
      <c r="E496" s="444" t="s">
        <v>1331</v>
      </c>
      <c r="F496" s="454">
        <f>[18]Dashboard_FS!$P$16</f>
        <v>0</v>
      </c>
      <c r="G496" s="441" t="s">
        <v>1116</v>
      </c>
      <c r="H496" s="441" t="s">
        <v>1329</v>
      </c>
      <c r="I496" s="441" t="s">
        <v>1330</v>
      </c>
      <c r="J496" s="441" t="b">
        <f t="shared" si="11"/>
        <v>1</v>
      </c>
    </row>
    <row r="497" spans="1:10" hidden="1" x14ac:dyDescent="0.25">
      <c r="A497" s="441" t="str">
        <f t="shared" si="12"/>
        <v>Residential_Building Shell_Ceiling/Attic Insulation #2 (Electric Heat)_A_attic</v>
      </c>
      <c r="B497" t="s">
        <v>1095</v>
      </c>
      <c r="C497" t="s">
        <v>1099</v>
      </c>
      <c r="D497" t="s">
        <v>1339</v>
      </c>
      <c r="E497" s="442" t="s">
        <v>1332</v>
      </c>
      <c r="F497" s="453">
        <f>[18]Dashboard_FS!$O$5</f>
        <v>0</v>
      </c>
      <c r="G497" s="441" t="s">
        <v>1116</v>
      </c>
      <c r="H497" s="441" t="s">
        <v>1329</v>
      </c>
      <c r="I497" s="441" t="s">
        <v>1330</v>
      </c>
      <c r="J497" s="441" t="b">
        <f t="shared" si="11"/>
        <v>1</v>
      </c>
    </row>
    <row r="498" spans="1:10" hidden="1" x14ac:dyDescent="0.25">
      <c r="A498" s="441" t="str">
        <f t="shared" si="12"/>
        <v>Residential_Building Shell_Ceiling/Attic Insulation #2 (Electric Heat)_Framing_factor_attic</v>
      </c>
      <c r="B498" t="s">
        <v>1095</v>
      </c>
      <c r="C498" t="s">
        <v>1099</v>
      </c>
      <c r="D498" t="s">
        <v>1339</v>
      </c>
      <c r="E498" s="444" t="s">
        <v>1333</v>
      </c>
      <c r="F498" s="454">
        <v>7.0000000000000007E-2</v>
      </c>
      <c r="H498" s="441" t="s">
        <v>1329</v>
      </c>
      <c r="I498" s="441" t="s">
        <v>1330</v>
      </c>
      <c r="J498" s="441" t="b">
        <f t="shared" si="11"/>
        <v>0</v>
      </c>
    </row>
    <row r="499" spans="1:10" hidden="1" x14ac:dyDescent="0.25">
      <c r="A499" s="441" t="str">
        <f t="shared" si="12"/>
        <v>Residential_Building Shell_Ceiling/Attic Insulation #2 (Electric Heat)_24</v>
      </c>
      <c r="B499" t="s">
        <v>1095</v>
      </c>
      <c r="C499" t="s">
        <v>1099</v>
      </c>
      <c r="D499" t="s">
        <v>1339</v>
      </c>
      <c r="E499" s="444">
        <v>24</v>
      </c>
      <c r="F499" s="454">
        <v>24</v>
      </c>
      <c r="H499" s="441" t="s">
        <v>1329</v>
      </c>
      <c r="I499" s="441" t="s">
        <v>1330</v>
      </c>
      <c r="J499" s="441" t="b">
        <f t="shared" si="11"/>
        <v>0</v>
      </c>
    </row>
    <row r="500" spans="1:10" hidden="1" x14ac:dyDescent="0.25">
      <c r="A500" s="441" t="str">
        <f t="shared" si="12"/>
        <v>Residential_Building Shell_Ceiling/Attic Insulation #2 (Electric Heat)_HDD</v>
      </c>
      <c r="B500" t="s">
        <v>1095</v>
      </c>
      <c r="C500" t="s">
        <v>1099</v>
      </c>
      <c r="D500" t="s">
        <v>1339</v>
      </c>
      <c r="E500" s="444" t="s">
        <v>1308</v>
      </c>
      <c r="F500" s="464">
        <f>INDEX('[18]CZ Inputs'!G:G,MATCH(A500&amp;"_"&amp;[18]Dashboard_EE!$K$3,'[18]CZ Inputs'!A:A,0))</f>
        <v>4266</v>
      </c>
      <c r="G500" s="441" t="s">
        <v>1297</v>
      </c>
      <c r="H500" s="441" t="s">
        <v>1329</v>
      </c>
      <c r="I500" s="441" t="s">
        <v>1330</v>
      </c>
      <c r="J500" s="441" t="b">
        <f t="shared" si="11"/>
        <v>1</v>
      </c>
    </row>
    <row r="501" spans="1:10" hidden="1" x14ac:dyDescent="0.25">
      <c r="A501" s="441" t="str">
        <f t="shared" si="12"/>
        <v>Residential_Building Shell_Ceiling/Attic Insulation #2 (Electric Heat)_ηHeat</v>
      </c>
      <c r="B501" t="s">
        <v>1095</v>
      </c>
      <c r="C501" t="s">
        <v>1099</v>
      </c>
      <c r="D501" t="s">
        <v>1339</v>
      </c>
      <c r="E501" s="442" t="s">
        <v>1309</v>
      </c>
      <c r="F501" s="453">
        <f>[18]Dashboard_FS!$K$8</f>
        <v>0</v>
      </c>
      <c r="G501" s="441" t="s">
        <v>1116</v>
      </c>
      <c r="H501" s="441" t="s">
        <v>1329</v>
      </c>
      <c r="I501" s="441" t="s">
        <v>1330</v>
      </c>
      <c r="J501" s="441" t="b">
        <f t="shared" si="11"/>
        <v>1</v>
      </c>
    </row>
    <row r="502" spans="1:10" hidden="1" x14ac:dyDescent="0.25">
      <c r="A502" s="441" t="str">
        <f t="shared" si="12"/>
        <v>Residential_Building Shell_Ceiling/Attic Insulation #2 (Electric Heat)_ηHeat_Mid-Life_Adj</v>
      </c>
      <c r="B502" t="s">
        <v>1095</v>
      </c>
      <c r="C502" t="s">
        <v>1099</v>
      </c>
      <c r="D502" t="s">
        <v>1339</v>
      </c>
      <c r="E502" s="442" t="s">
        <v>1310</v>
      </c>
      <c r="F502" s="453">
        <f>[18]Dashboard_FS!$K$8</f>
        <v>0</v>
      </c>
      <c r="G502" s="441" t="s">
        <v>1116</v>
      </c>
      <c r="H502" s="441" t="s">
        <v>1329</v>
      </c>
      <c r="I502" s="441" t="s">
        <v>1330</v>
      </c>
      <c r="J502" s="441" t="b">
        <f t="shared" si="11"/>
        <v>1</v>
      </c>
    </row>
    <row r="503" spans="1:10" hidden="1" x14ac:dyDescent="0.25">
      <c r="A503" s="441" t="str">
        <f t="shared" si="12"/>
        <v>Residential_Building Shell_Ceiling/Attic Insulation #2 (Electric Heat)_100000</v>
      </c>
      <c r="B503" t="s">
        <v>1095</v>
      </c>
      <c r="C503" t="s">
        <v>1099</v>
      </c>
      <c r="D503" t="s">
        <v>1339</v>
      </c>
      <c r="E503" s="444">
        <v>100000</v>
      </c>
      <c r="F503" s="454">
        <v>100000</v>
      </c>
      <c r="H503" s="441" t="s">
        <v>1329</v>
      </c>
      <c r="I503" s="441" t="s">
        <v>1330</v>
      </c>
      <c r="J503" s="441" t="b">
        <f t="shared" si="11"/>
        <v>0</v>
      </c>
    </row>
    <row r="504" spans="1:10" hidden="1" x14ac:dyDescent="0.25">
      <c r="A504" s="441" t="str">
        <f t="shared" ref="A504:A567" si="13">B504&amp;"_"&amp;C504&amp;"_"&amp;D504&amp;"_"&amp;E504</f>
        <v>Residential_Building Shell_Ceiling/Attic Insulation #2 (Electric Heat)_ADJAtticGasHeat</v>
      </c>
      <c r="B504" t="s">
        <v>1095</v>
      </c>
      <c r="C504" t="s">
        <v>1099</v>
      </c>
      <c r="D504" t="s">
        <v>1339</v>
      </c>
      <c r="E504" s="444" t="s">
        <v>1337</v>
      </c>
      <c r="F504" s="464">
        <v>0.76</v>
      </c>
      <c r="H504" s="441" t="s">
        <v>1329</v>
      </c>
      <c r="I504" s="441" t="s">
        <v>1330</v>
      </c>
      <c r="J504" s="441" t="b">
        <f t="shared" si="11"/>
        <v>0</v>
      </c>
    </row>
    <row r="505" spans="1:10" hidden="1" x14ac:dyDescent="0.25">
      <c r="A505" s="441" t="str">
        <f t="shared" si="13"/>
        <v>Residential_Building Shell_Ceiling/Attic Insulation #2 (Electric Heat)_IENetCorrection</v>
      </c>
      <c r="B505" t="s">
        <v>1095</v>
      </c>
      <c r="C505" t="s">
        <v>1099</v>
      </c>
      <c r="D505" t="s">
        <v>1339</v>
      </c>
      <c r="E505" s="444" t="s">
        <v>1304</v>
      </c>
      <c r="F505" s="454">
        <f>IF([18]Dashboard_FS!$K$20="Yes",110%,100%)</f>
        <v>1.1000000000000001</v>
      </c>
      <c r="H505" s="441" t="s">
        <v>1329</v>
      </c>
      <c r="I505" s="441" t="s">
        <v>1330</v>
      </c>
      <c r="J505" s="441" t="b">
        <f t="shared" si="11"/>
        <v>1</v>
      </c>
    </row>
    <row r="506" spans="1:10" hidden="1" x14ac:dyDescent="0.25">
      <c r="A506" s="441" t="str">
        <f t="shared" si="13"/>
        <v>Residential_Building Shell_Ceiling/Attic Insulation #2 (Electric Heat)_%GasHeat</v>
      </c>
      <c r="B506" t="s">
        <v>1095</v>
      </c>
      <c r="C506" t="s">
        <v>1099</v>
      </c>
      <c r="D506" t="s">
        <v>1339</v>
      </c>
      <c r="E506" s="444" t="s">
        <v>1338</v>
      </c>
      <c r="F506" s="454">
        <v>0</v>
      </c>
      <c r="G506" s="441" t="s">
        <v>1311</v>
      </c>
      <c r="H506" s="441" t="s">
        <v>1329</v>
      </c>
      <c r="I506" s="441" t="s">
        <v>1330</v>
      </c>
      <c r="J506" s="441" t="b">
        <f t="shared" si="11"/>
        <v>0</v>
      </c>
    </row>
    <row r="507" spans="1:10" hidden="1" x14ac:dyDescent="0.25">
      <c r="A507" s="441" t="str">
        <f t="shared" si="13"/>
        <v>Residential_Building Shell_Ceiling/Attic Insulation #2 (Electric Heat)_Delta_therms</v>
      </c>
      <c r="B507" t="s">
        <v>1095</v>
      </c>
      <c r="C507" t="s">
        <v>1099</v>
      </c>
      <c r="D507" t="s">
        <v>1339</v>
      </c>
      <c r="E507" s="442" t="s">
        <v>1320</v>
      </c>
      <c r="F507" s="453" t="e">
        <f xml:space="preserve"> ((((1/ F495 - 1/ F496) * F497 * (1 - F498)) * F499 * F500) / (F501 * F503)) * F504 * F505 * F506</f>
        <v>#DIV/0!</v>
      </c>
      <c r="H507" s="441" t="s">
        <v>1329</v>
      </c>
      <c r="I507" s="441" t="s">
        <v>1330</v>
      </c>
      <c r="J507" s="441" t="b">
        <f t="shared" si="11"/>
        <v>1</v>
      </c>
    </row>
    <row r="508" spans="1:10" hidden="1" x14ac:dyDescent="0.25">
      <c r="A508" s="441" t="str">
        <f t="shared" si="13"/>
        <v>Residential_Building Shell_Ceiling/Attic Insulation #2 (Electric Heat)_Delta_therms_Mid-Life_Adj</v>
      </c>
      <c r="B508" t="s">
        <v>1095</v>
      </c>
      <c r="C508" t="s">
        <v>1099</v>
      </c>
      <c r="D508" t="s">
        <v>1339</v>
      </c>
      <c r="E508" s="442" t="s">
        <v>1321</v>
      </c>
      <c r="F508" s="453" t="e">
        <f xml:space="preserve"> ((((1/ F495 - 1/ F496) * F497 * (1 - F498)) * F499 * F500) / (F502 * F503)) * F504 * F505 * F506</f>
        <v>#DIV/0!</v>
      </c>
      <c r="H508" s="441" t="s">
        <v>1329</v>
      </c>
      <c r="I508" s="441" t="s">
        <v>1330</v>
      </c>
      <c r="J508" s="441" t="b">
        <f t="shared" si="11"/>
        <v>1</v>
      </c>
    </row>
    <row r="509" spans="1:10" hidden="1" x14ac:dyDescent="0.25">
      <c r="A509" s="441" t="str">
        <f t="shared" si="13"/>
        <v>Residential_Building Shell_Ceiling/Attic Insulation #2 (Electric Heat)_Remaining Year kWh</v>
      </c>
      <c r="B509" t="s">
        <v>1095</v>
      </c>
      <c r="C509" t="s">
        <v>1099</v>
      </c>
      <c r="D509" t="s">
        <v>1339</v>
      </c>
      <c r="E509" s="450" t="s">
        <v>1322</v>
      </c>
      <c r="F509" s="456" t="e">
        <f>F470+F483+F489</f>
        <v>#DIV/0!</v>
      </c>
      <c r="H509" s="441" t="s">
        <v>1329</v>
      </c>
      <c r="I509" s="441" t="s">
        <v>1330</v>
      </c>
      <c r="J509" s="441" t="b">
        <f t="shared" si="11"/>
        <v>1</v>
      </c>
    </row>
    <row r="510" spans="1:10" hidden="1" x14ac:dyDescent="0.25">
      <c r="A510" s="441" t="str">
        <f t="shared" si="13"/>
        <v>Residential_Building Shell_Ceiling/Attic Insulation #2 (Electric Heat)_kWh Saved per Unit</v>
      </c>
      <c r="B510" t="s">
        <v>1095</v>
      </c>
      <c r="C510" t="s">
        <v>1099</v>
      </c>
      <c r="D510" t="s">
        <v>1339</v>
      </c>
      <c r="E510" s="450" t="s">
        <v>1156</v>
      </c>
      <c r="F510" s="456" t="e">
        <f>F471+F484+F490</f>
        <v>#DIV/0!</v>
      </c>
      <c r="H510" s="441" t="s">
        <v>1329</v>
      </c>
      <c r="I510" s="441" t="s">
        <v>1330</v>
      </c>
      <c r="J510" s="441" t="b">
        <f t="shared" si="11"/>
        <v>1</v>
      </c>
    </row>
    <row r="511" spans="1:10" hidden="1" x14ac:dyDescent="0.25">
      <c r="A511" s="441" t="str">
        <f t="shared" si="13"/>
        <v>Residential_Building Shell_Ceiling/Attic Insulation #2 (Electric Heat)_Remaining Year kW</v>
      </c>
      <c r="B511" t="s">
        <v>1095</v>
      </c>
      <c r="C511" t="s">
        <v>1099</v>
      </c>
      <c r="D511" t="s">
        <v>1339</v>
      </c>
      <c r="E511" s="450" t="s">
        <v>1323</v>
      </c>
      <c r="F511" s="456" t="e">
        <f>F493</f>
        <v>#DIV/0!</v>
      </c>
      <c r="H511" s="441" t="s">
        <v>1329</v>
      </c>
      <c r="I511" s="441" t="s">
        <v>1330</v>
      </c>
      <c r="J511" s="441" t="b">
        <f t="shared" si="11"/>
        <v>1</v>
      </c>
    </row>
    <row r="512" spans="1:10" hidden="1" x14ac:dyDescent="0.25">
      <c r="A512" s="441" t="str">
        <f t="shared" si="13"/>
        <v>Residential_Building Shell_Ceiling/Attic Insulation #2 (Electric Heat)_Coincident Peak kW Saved per Unit</v>
      </c>
      <c r="B512" t="s">
        <v>1095</v>
      </c>
      <c r="C512" t="s">
        <v>1099</v>
      </c>
      <c r="D512" t="s">
        <v>1339</v>
      </c>
      <c r="E512" s="450" t="s">
        <v>1157</v>
      </c>
      <c r="F512" s="456" t="e">
        <f>F494</f>
        <v>#DIV/0!</v>
      </c>
      <c r="H512" s="441" t="s">
        <v>1329</v>
      </c>
      <c r="I512" s="441" t="s">
        <v>1330</v>
      </c>
      <c r="J512" s="441" t="b">
        <f t="shared" si="11"/>
        <v>1</v>
      </c>
    </row>
    <row r="513" spans="1:10" hidden="1" x14ac:dyDescent="0.25">
      <c r="A513" s="441" t="str">
        <f t="shared" si="13"/>
        <v>Residential_Building Shell_Ceiling/Attic Insulation #2 (Electric Heat)_Remaining Year Therms</v>
      </c>
      <c r="B513" t="s">
        <v>1095</v>
      </c>
      <c r="C513" t="s">
        <v>1099</v>
      </c>
      <c r="D513" t="s">
        <v>1339</v>
      </c>
      <c r="E513" s="450" t="s">
        <v>1324</v>
      </c>
      <c r="F513" s="456" t="e">
        <f>F507</f>
        <v>#DIV/0!</v>
      </c>
      <c r="H513" s="441" t="s">
        <v>1329</v>
      </c>
      <c r="I513" s="441" t="s">
        <v>1330</v>
      </c>
      <c r="J513" s="441" t="b">
        <f t="shared" si="11"/>
        <v>1</v>
      </c>
    </row>
    <row r="514" spans="1:10" hidden="1" x14ac:dyDescent="0.25">
      <c r="A514" s="441" t="str">
        <f t="shared" si="13"/>
        <v>Residential_Building Shell_Ceiling/Attic Insulation #2 (Electric Heat)_Therms Saved per Unit</v>
      </c>
      <c r="B514" t="s">
        <v>1095</v>
      </c>
      <c r="C514" t="s">
        <v>1099</v>
      </c>
      <c r="D514" t="s">
        <v>1339</v>
      </c>
      <c r="E514" s="450" t="s">
        <v>1251</v>
      </c>
      <c r="F514" s="456" t="e">
        <f>F508</f>
        <v>#DIV/0!</v>
      </c>
      <c r="H514" s="441" t="s">
        <v>1329</v>
      </c>
      <c r="I514" s="441" t="s">
        <v>1330</v>
      </c>
      <c r="J514" s="441" t="b">
        <f t="shared" si="11"/>
        <v>1</v>
      </c>
    </row>
    <row r="515" spans="1:10" hidden="1" x14ac:dyDescent="0.25">
      <c r="A515" s="441" t="str">
        <f t="shared" si="13"/>
        <v>Residential_Building Shell_Ceiling/Attic Insulation #2 (Electric Heat)_Remaining Life</v>
      </c>
      <c r="B515" t="s">
        <v>1095</v>
      </c>
      <c r="C515" t="s">
        <v>1099</v>
      </c>
      <c r="D515" t="s">
        <v>1339</v>
      </c>
      <c r="E515" s="450" t="s">
        <v>1325</v>
      </c>
      <c r="F515" s="456">
        <v>10</v>
      </c>
      <c r="H515" s="441" t="s">
        <v>1329</v>
      </c>
      <c r="I515" s="441" t="s">
        <v>1330</v>
      </c>
      <c r="J515" s="441" t="b">
        <f t="shared" si="11"/>
        <v>0</v>
      </c>
    </row>
    <row r="516" spans="1:10" hidden="1" x14ac:dyDescent="0.25">
      <c r="A516" s="441" t="str">
        <f t="shared" si="13"/>
        <v>Residential_Building Shell_Ceiling/Attic Insulation #2 (Electric Heat)_Lifetime (years)</v>
      </c>
      <c r="B516" t="s">
        <v>1095</v>
      </c>
      <c r="C516" t="s">
        <v>1099</v>
      </c>
      <c r="D516" t="s">
        <v>1339</v>
      </c>
      <c r="E516" s="450" t="s">
        <v>1160</v>
      </c>
      <c r="F516" s="457">
        <v>30</v>
      </c>
      <c r="H516" s="441" t="s">
        <v>1329</v>
      </c>
      <c r="I516" s="441" t="s">
        <v>1330</v>
      </c>
      <c r="J516" s="441" t="b">
        <f t="shared" si="11"/>
        <v>0</v>
      </c>
    </row>
    <row r="517" spans="1:10" hidden="1" x14ac:dyDescent="0.25">
      <c r="A517" s="441" t="str">
        <f t="shared" si="13"/>
        <v>Residential_Building Shell_Ceiling/Attic Insulation #2 (Electric Heat)_Incremental Cost</v>
      </c>
      <c r="B517" t="s">
        <v>1095</v>
      </c>
      <c r="C517" t="s">
        <v>1099</v>
      </c>
      <c r="D517" t="s">
        <v>1339</v>
      </c>
      <c r="E517" s="450" t="s">
        <v>1161</v>
      </c>
      <c r="F517" s="452">
        <f>0.75*F459</f>
        <v>0</v>
      </c>
      <c r="G517" s="441" t="s">
        <v>1326</v>
      </c>
      <c r="H517" s="441" t="s">
        <v>1329</v>
      </c>
      <c r="I517" s="441" t="s">
        <v>1330</v>
      </c>
      <c r="J517" s="441" t="b">
        <f t="shared" si="11"/>
        <v>1</v>
      </c>
    </row>
    <row r="518" spans="1:10" hidden="1" x14ac:dyDescent="0.25">
      <c r="A518" s="441" t="str">
        <f t="shared" si="13"/>
        <v>Residential_Building Shell_Ceiling/Attic Insulation #2 (Electric Heat)_BTU Impact_Existing_Fossil Fuel</v>
      </c>
      <c r="B518" t="s">
        <v>1095</v>
      </c>
      <c r="C518" t="s">
        <v>1099</v>
      </c>
      <c r="D518" t="s">
        <v>1339</v>
      </c>
      <c r="E518" s="450" t="s">
        <v>1163</v>
      </c>
      <c r="F518" s="451">
        <v>0</v>
      </c>
      <c r="H518" s="441" t="s">
        <v>1329</v>
      </c>
      <c r="I518" s="441" t="s">
        <v>1330</v>
      </c>
      <c r="J518" s="441" t="b">
        <f t="shared" si="11"/>
        <v>0</v>
      </c>
    </row>
    <row r="519" spans="1:10" hidden="1" x14ac:dyDescent="0.25">
      <c r="A519" s="441" t="str">
        <f t="shared" si="13"/>
        <v>Residential_Building Shell_Ceiling/Attic Insulation #2 (Electric Heat)_BTU Impact_Existing_Winter Electricity</v>
      </c>
      <c r="B519" t="s">
        <v>1095</v>
      </c>
      <c r="C519" t="s">
        <v>1099</v>
      </c>
      <c r="D519" t="s">
        <v>1339</v>
      </c>
      <c r="E519" s="450" t="s">
        <v>1164</v>
      </c>
      <c r="F519" s="451">
        <v>0</v>
      </c>
      <c r="H519" s="441" t="s">
        <v>1329</v>
      </c>
      <c r="I519" s="441" t="s">
        <v>1330</v>
      </c>
      <c r="J519" s="441" t="b">
        <f t="shared" si="11"/>
        <v>0</v>
      </c>
    </row>
    <row r="520" spans="1:10" hidden="1" x14ac:dyDescent="0.25">
      <c r="A520" s="441" t="str">
        <f t="shared" si="13"/>
        <v>Residential_Building Shell_Ceiling/Attic Insulation #2 (Electric Heat)_BTU Impact_Existing_Summer Electricity</v>
      </c>
      <c r="B520" t="s">
        <v>1095</v>
      </c>
      <c r="C520" t="s">
        <v>1099</v>
      </c>
      <c r="D520" t="s">
        <v>1339</v>
      </c>
      <c r="E520" s="450" t="s">
        <v>1165</v>
      </c>
      <c r="F520" s="451">
        <v>0</v>
      </c>
      <c r="H520" s="441" t="s">
        <v>1329</v>
      </c>
      <c r="I520" s="441" t="s">
        <v>1330</v>
      </c>
      <c r="J520" s="441" t="b">
        <f t="shared" si="11"/>
        <v>0</v>
      </c>
    </row>
    <row r="521" spans="1:10" hidden="1" x14ac:dyDescent="0.25">
      <c r="A521" s="441" t="str">
        <f t="shared" si="13"/>
        <v>Residential_Building Shell_Ceiling/Attic Insulation #2 (Electric Heat)_BTU Impact_New_Fossil Fuel</v>
      </c>
      <c r="B521" t="s">
        <v>1095</v>
      </c>
      <c r="C521" t="s">
        <v>1099</v>
      </c>
      <c r="D521" t="s">
        <v>1339</v>
      </c>
      <c r="E521" s="450" t="s">
        <v>1166</v>
      </c>
      <c r="F521" s="451">
        <v>0</v>
      </c>
      <c r="H521" s="441" t="s">
        <v>1329</v>
      </c>
      <c r="I521" s="441" t="s">
        <v>1330</v>
      </c>
      <c r="J521" s="441" t="b">
        <f t="shared" si="11"/>
        <v>0</v>
      </c>
    </row>
    <row r="522" spans="1:10" hidden="1" x14ac:dyDescent="0.25">
      <c r="A522" s="441" t="str">
        <f t="shared" si="13"/>
        <v>Residential_Building Shell_Ceiling/Attic Insulation #2 (Electric Heat)_BTU Impact_New_Winter Electricity</v>
      </c>
      <c r="B522" t="s">
        <v>1095</v>
      </c>
      <c r="C522" t="s">
        <v>1099</v>
      </c>
      <c r="D522" t="s">
        <v>1339</v>
      </c>
      <c r="E522" s="450" t="s">
        <v>1167</v>
      </c>
      <c r="F522" s="451" t="e">
        <f>-F483*3412</f>
        <v>#DIV/0!</v>
      </c>
      <c r="H522" s="441" t="s">
        <v>1329</v>
      </c>
      <c r="I522" s="441" t="s">
        <v>1330</v>
      </c>
      <c r="J522" s="441" t="b">
        <f t="shared" si="11"/>
        <v>1</v>
      </c>
    </row>
    <row r="523" spans="1:10" hidden="1" x14ac:dyDescent="0.25">
      <c r="A523" s="441" t="str">
        <f t="shared" si="13"/>
        <v>Residential_Building Shell_Ceiling/Attic Insulation #2 (Electric Heat)_BTU Impact_New_Summer Electricity</v>
      </c>
      <c r="B523" t="s">
        <v>1095</v>
      </c>
      <c r="C523" t="s">
        <v>1099</v>
      </c>
      <c r="D523" t="s">
        <v>1339</v>
      </c>
      <c r="E523" s="450" t="s">
        <v>1168</v>
      </c>
      <c r="F523" s="451" t="e">
        <f>-F470*3412</f>
        <v>#DIV/0!</v>
      </c>
      <c r="H523" s="441" t="s">
        <v>1329</v>
      </c>
      <c r="I523" s="441" t="s">
        <v>1330</v>
      </c>
      <c r="J523" s="441" t="b">
        <f t="shared" si="11"/>
        <v>1</v>
      </c>
    </row>
    <row r="524" spans="1:10" hidden="1" x14ac:dyDescent="0.25">
      <c r="A524" s="441" t="str">
        <f t="shared" si="13"/>
        <v>Residential_Building Shell_Ceiling/Attic Insulation #2 (Electric Heat)_</v>
      </c>
      <c r="B524" t="s">
        <v>1095</v>
      </c>
      <c r="C524" t="s">
        <v>1099</v>
      </c>
      <c r="D524" t="s">
        <v>1339</v>
      </c>
      <c r="H524" s="441" t="s">
        <v>1329</v>
      </c>
      <c r="I524" s="441" t="s">
        <v>1330</v>
      </c>
      <c r="J524" s="441" t="b">
        <f t="shared" si="11"/>
        <v>0</v>
      </c>
    </row>
    <row r="525" spans="1:10" hidden="1" x14ac:dyDescent="0.25">
      <c r="A525" s="441" t="str">
        <f t="shared" si="13"/>
        <v>Residential_Building Shell_Attic Kneewall Insulation #1 (Electric Heat)_R_old</v>
      </c>
      <c r="B525" t="s">
        <v>1095</v>
      </c>
      <c r="C525" t="s">
        <v>1099</v>
      </c>
      <c r="D525" t="s">
        <v>1340</v>
      </c>
      <c r="E525" s="442" t="s">
        <v>1328</v>
      </c>
      <c r="F525" s="453">
        <f>[18]Dashboard_FS!$O$17</f>
        <v>1</v>
      </c>
      <c r="G525" s="441" t="s">
        <v>1116</v>
      </c>
      <c r="H525" s="441" t="s">
        <v>1341</v>
      </c>
      <c r="I525" s="441" t="s">
        <v>1342</v>
      </c>
      <c r="J525" s="441" t="b">
        <f t="shared" si="11"/>
        <v>1</v>
      </c>
    </row>
    <row r="526" spans="1:10" hidden="1" x14ac:dyDescent="0.25">
      <c r="A526" s="441" t="str">
        <f t="shared" si="13"/>
        <v>Residential_Building Shell_Attic Kneewall Insulation #1 (Electric Heat)_R_wall</v>
      </c>
      <c r="B526" t="s">
        <v>1095</v>
      </c>
      <c r="C526" t="s">
        <v>1099</v>
      </c>
      <c r="D526" t="s">
        <v>1340</v>
      </c>
      <c r="E526" s="442" t="s">
        <v>1343</v>
      </c>
      <c r="F526" s="453">
        <f>[18]Dashboard_FS!$P$17</f>
        <v>0</v>
      </c>
      <c r="G526" s="441" t="s">
        <v>1116</v>
      </c>
      <c r="H526" s="441" t="s">
        <v>1341</v>
      </c>
      <c r="I526" s="441" t="s">
        <v>1342</v>
      </c>
      <c r="J526" s="441" t="b">
        <f t="shared" si="11"/>
        <v>1</v>
      </c>
    </row>
    <row r="527" spans="1:10" hidden="1" x14ac:dyDescent="0.25">
      <c r="A527" s="441" t="str">
        <f t="shared" si="13"/>
        <v>Residential_Building Shell_Attic Kneewall Insulation #1 (Electric Heat)_A_wall</v>
      </c>
      <c r="B527" t="s">
        <v>1095</v>
      </c>
      <c r="C527" t="s">
        <v>1099</v>
      </c>
      <c r="D527" t="s">
        <v>1340</v>
      </c>
      <c r="E527" s="442" t="s">
        <v>1344</v>
      </c>
      <c r="F527" s="453">
        <f>[18]Dashboard_FS!$O$6</f>
        <v>0</v>
      </c>
      <c r="G527" s="441" t="s">
        <v>1116</v>
      </c>
      <c r="H527" s="441" t="s">
        <v>1341</v>
      </c>
      <c r="I527" s="441" t="s">
        <v>1342</v>
      </c>
      <c r="J527" s="441" t="b">
        <f t="shared" si="11"/>
        <v>1</v>
      </c>
    </row>
    <row r="528" spans="1:10" hidden="1" x14ac:dyDescent="0.25">
      <c r="A528" s="441" t="str">
        <f t="shared" si="13"/>
        <v>Residential_Building Shell_Attic Kneewall Insulation #1 (Electric Heat)_Framing_factor_wall</v>
      </c>
      <c r="B528" t="s">
        <v>1095</v>
      </c>
      <c r="C528" t="s">
        <v>1099</v>
      </c>
      <c r="D528" t="s">
        <v>1340</v>
      </c>
      <c r="E528" s="444" t="s">
        <v>1345</v>
      </c>
      <c r="F528" s="454">
        <v>0.25</v>
      </c>
      <c r="H528" s="441" t="s">
        <v>1341</v>
      </c>
      <c r="I528" s="441" t="s">
        <v>1342</v>
      </c>
      <c r="J528" s="441" t="b">
        <f t="shared" si="11"/>
        <v>0</v>
      </c>
    </row>
    <row r="529" spans="1:10" hidden="1" x14ac:dyDescent="0.25">
      <c r="A529" s="441" t="str">
        <f t="shared" si="13"/>
        <v>Residential_Building Shell_Attic Kneewall Insulation #1 (Electric Heat)_24</v>
      </c>
      <c r="B529" t="s">
        <v>1095</v>
      </c>
      <c r="C529" t="s">
        <v>1099</v>
      </c>
      <c r="D529" t="s">
        <v>1340</v>
      </c>
      <c r="E529" s="444">
        <v>24</v>
      </c>
      <c r="F529" s="454">
        <v>24</v>
      </c>
      <c r="H529" s="441" t="s">
        <v>1341</v>
      </c>
      <c r="I529" s="441" t="s">
        <v>1342</v>
      </c>
      <c r="J529" s="441" t="b">
        <f t="shared" si="11"/>
        <v>0</v>
      </c>
    </row>
    <row r="530" spans="1:10" hidden="1" x14ac:dyDescent="0.25">
      <c r="A530" s="441" t="str">
        <f t="shared" si="13"/>
        <v>Residential_Building Shell_Attic Kneewall Insulation #1 (Electric Heat)_CDD</v>
      </c>
      <c r="B530" t="s">
        <v>1095</v>
      </c>
      <c r="C530" t="s">
        <v>1099</v>
      </c>
      <c r="D530" t="s">
        <v>1340</v>
      </c>
      <c r="E530" s="444" t="s">
        <v>1296</v>
      </c>
      <c r="F530" s="464">
        <f>INDEX('[18]CZ Inputs'!G:G,MATCH(A530&amp;"_"&amp;[18]Dashboard_EE!$K$3,'[18]CZ Inputs'!A:A,0))</f>
        <v>1183</v>
      </c>
      <c r="G530" s="441" t="s">
        <v>1297</v>
      </c>
      <c r="H530" s="441" t="s">
        <v>1341</v>
      </c>
      <c r="I530" s="441" t="s">
        <v>1342</v>
      </c>
      <c r="J530" s="441" t="b">
        <f t="shared" si="11"/>
        <v>1</v>
      </c>
    </row>
    <row r="531" spans="1:10" hidden="1" x14ac:dyDescent="0.25">
      <c r="A531" s="441" t="str">
        <f t="shared" si="13"/>
        <v>Residential_Building Shell_Attic Kneewall Insulation #1 (Electric Heat)_DUA</v>
      </c>
      <c r="B531" t="s">
        <v>1095</v>
      </c>
      <c r="C531" t="s">
        <v>1099</v>
      </c>
      <c r="D531" t="s">
        <v>1340</v>
      </c>
      <c r="E531" s="444" t="s">
        <v>1298</v>
      </c>
      <c r="F531" s="454">
        <v>0.75</v>
      </c>
      <c r="H531" s="441" t="s">
        <v>1341</v>
      </c>
      <c r="I531" s="441" t="s">
        <v>1342</v>
      </c>
      <c r="J531" s="441" t="b">
        <f t="shared" si="11"/>
        <v>0</v>
      </c>
    </row>
    <row r="532" spans="1:10" hidden="1" x14ac:dyDescent="0.25">
      <c r="A532" s="441" t="str">
        <f t="shared" si="13"/>
        <v>Residential_Building Shell_Attic Kneewall Insulation #1 (Electric Heat)_1000</v>
      </c>
      <c r="B532" t="s">
        <v>1095</v>
      </c>
      <c r="C532" t="s">
        <v>1099</v>
      </c>
      <c r="D532" t="s">
        <v>1340</v>
      </c>
      <c r="E532" s="444">
        <v>1000</v>
      </c>
      <c r="F532" s="454">
        <v>1000</v>
      </c>
      <c r="H532" s="441" t="s">
        <v>1341</v>
      </c>
      <c r="I532" s="441" t="s">
        <v>1342</v>
      </c>
      <c r="J532" s="441" t="b">
        <f t="shared" si="11"/>
        <v>0</v>
      </c>
    </row>
    <row r="533" spans="1:10" hidden="1" x14ac:dyDescent="0.25">
      <c r="A533" s="441" t="str">
        <f t="shared" si="13"/>
        <v>Residential_Building Shell_Attic Kneewall Insulation #1 (Electric Heat)_ηCool</v>
      </c>
      <c r="B533" t="s">
        <v>1095</v>
      </c>
      <c r="C533" t="s">
        <v>1099</v>
      </c>
      <c r="D533" t="s">
        <v>1340</v>
      </c>
      <c r="E533" s="442" t="s">
        <v>1299</v>
      </c>
      <c r="F533" s="453">
        <f>[18]Dashboard_FS!$K$14</f>
        <v>0</v>
      </c>
      <c r="G533" s="441" t="s">
        <v>1116</v>
      </c>
      <c r="H533" s="441" t="s">
        <v>1341</v>
      </c>
      <c r="I533" s="441" t="s">
        <v>1342</v>
      </c>
      <c r="J533" s="441" t="b">
        <f t="shared" si="11"/>
        <v>1</v>
      </c>
    </row>
    <row r="534" spans="1:10" hidden="1" x14ac:dyDescent="0.25">
      <c r="A534" s="441" t="str">
        <f t="shared" si="13"/>
        <v>Residential_Building Shell_Attic Kneewall Insulation #1 (Electric Heat)_ηCool_Mid-Life_Adj</v>
      </c>
      <c r="B534" t="s">
        <v>1095</v>
      </c>
      <c r="C534" t="s">
        <v>1099</v>
      </c>
      <c r="D534" t="s">
        <v>1340</v>
      </c>
      <c r="E534" s="442" t="s">
        <v>1300</v>
      </c>
      <c r="F534" s="453">
        <f>[18]Dashboard_FS!$K$14</f>
        <v>0</v>
      </c>
      <c r="G534" s="441" t="s">
        <v>1116</v>
      </c>
      <c r="H534" s="441" t="s">
        <v>1341</v>
      </c>
      <c r="I534" s="441" t="s">
        <v>1342</v>
      </c>
      <c r="J534" s="441" t="b">
        <f t="shared" si="11"/>
        <v>1</v>
      </c>
    </row>
    <row r="535" spans="1:10" hidden="1" x14ac:dyDescent="0.25">
      <c r="A535" s="441" t="str">
        <f t="shared" si="13"/>
        <v>Residential_Building Shell_Attic Kneewall Insulation #1 (Electric Heat)_ADJWallCool</v>
      </c>
      <c r="B535" t="s">
        <v>1095</v>
      </c>
      <c r="C535" t="s">
        <v>1099</v>
      </c>
      <c r="D535" t="s">
        <v>1340</v>
      </c>
      <c r="E535" s="444" t="s">
        <v>1346</v>
      </c>
      <c r="F535" s="464">
        <v>0.75</v>
      </c>
      <c r="H535" s="441" t="s">
        <v>1341</v>
      </c>
      <c r="I535" s="441" t="s">
        <v>1342</v>
      </c>
      <c r="J535" s="441" t="b">
        <f t="shared" si="11"/>
        <v>0</v>
      </c>
    </row>
    <row r="536" spans="1:10" hidden="1" x14ac:dyDescent="0.25">
      <c r="A536" s="441" t="str">
        <f t="shared" si="13"/>
        <v>Residential_Building Shell_Attic Kneewall Insulation #1 (Electric Heat)_%Cool</v>
      </c>
      <c r="B536" t="s">
        <v>1095</v>
      </c>
      <c r="C536" t="s">
        <v>1099</v>
      </c>
      <c r="D536" t="s">
        <v>1340</v>
      </c>
      <c r="E536" s="444" t="s">
        <v>1272</v>
      </c>
      <c r="F536" s="454">
        <v>1</v>
      </c>
      <c r="H536" s="441" t="s">
        <v>1341</v>
      </c>
      <c r="I536" s="441" t="s">
        <v>1342</v>
      </c>
      <c r="J536" s="441" t="b">
        <f t="shared" si="11"/>
        <v>0</v>
      </c>
    </row>
    <row r="537" spans="1:10" hidden="1" x14ac:dyDescent="0.25">
      <c r="A537" s="441" t="str">
        <f t="shared" si="13"/>
        <v>Residential_Building Shell_Attic Kneewall Insulation #1 (Electric Heat)_Delta_kWh_cooling</v>
      </c>
      <c r="B537" t="s">
        <v>1095</v>
      </c>
      <c r="C537" t="s">
        <v>1099</v>
      </c>
      <c r="D537" t="s">
        <v>1340</v>
      </c>
      <c r="E537" s="442" t="s">
        <v>1305</v>
      </c>
      <c r="F537" s="453" t="e">
        <f xml:space="preserve"> ((((1/ F525 - 1/ F526) * F527 * (1 - F528)) * F529 * F530 * F531) / (F532 * F533)) * F535 * F536</f>
        <v>#DIV/0!</v>
      </c>
      <c r="H537" s="441" t="s">
        <v>1341</v>
      </c>
      <c r="I537" s="441" t="s">
        <v>1342</v>
      </c>
      <c r="J537" s="441" t="b">
        <f t="shared" si="11"/>
        <v>1</v>
      </c>
    </row>
    <row r="538" spans="1:10" hidden="1" x14ac:dyDescent="0.25">
      <c r="A538" s="441" t="str">
        <f t="shared" si="13"/>
        <v>Residential_Building Shell_Attic Kneewall Insulation #1 (Electric Heat)_Delta_kWh_cooling_Mid-Life_Adj</v>
      </c>
      <c r="B538" t="s">
        <v>1095</v>
      </c>
      <c r="C538" t="s">
        <v>1099</v>
      </c>
      <c r="D538" t="s">
        <v>1340</v>
      </c>
      <c r="E538" s="442" t="s">
        <v>1306</v>
      </c>
      <c r="F538" s="453" t="e">
        <f xml:space="preserve"> ((((1/ F525 - 1/ F526) * F527 * (1 - F528)) * F529 * F530 * F531) / (F532 * F534)) * F535 * F536</f>
        <v>#DIV/0!</v>
      </c>
      <c r="H538" s="441" t="s">
        <v>1341</v>
      </c>
      <c r="I538" s="441" t="s">
        <v>1342</v>
      </c>
      <c r="J538" s="441" t="b">
        <f t="shared" si="11"/>
        <v>1</v>
      </c>
    </row>
    <row r="539" spans="1:10" hidden="1" x14ac:dyDescent="0.25">
      <c r="A539" s="441" t="str">
        <f t="shared" si="13"/>
        <v>Residential_Building Shell_Attic Kneewall Insulation #1 (Electric Heat)_R_old</v>
      </c>
      <c r="B539" t="s">
        <v>1095</v>
      </c>
      <c r="C539" t="s">
        <v>1099</v>
      </c>
      <c r="D539" t="s">
        <v>1340</v>
      </c>
      <c r="E539" s="442" t="s">
        <v>1328</v>
      </c>
      <c r="F539" s="453">
        <f>[18]Dashboard_FS!$O$17</f>
        <v>1</v>
      </c>
      <c r="G539" s="441" t="s">
        <v>1116</v>
      </c>
      <c r="H539" s="441" t="s">
        <v>1341</v>
      </c>
      <c r="I539" s="441" t="s">
        <v>1342</v>
      </c>
      <c r="J539" s="441" t="b">
        <f t="shared" si="11"/>
        <v>1</v>
      </c>
    </row>
    <row r="540" spans="1:10" hidden="1" x14ac:dyDescent="0.25">
      <c r="A540" s="441" t="str">
        <f t="shared" si="13"/>
        <v>Residential_Building Shell_Attic Kneewall Insulation #1 (Electric Heat)_R_wall</v>
      </c>
      <c r="B540" t="s">
        <v>1095</v>
      </c>
      <c r="C540" t="s">
        <v>1099</v>
      </c>
      <c r="D540" t="s">
        <v>1340</v>
      </c>
      <c r="E540" s="442" t="s">
        <v>1343</v>
      </c>
      <c r="F540" s="453">
        <f>[18]Dashboard_FS!$P$17</f>
        <v>0</v>
      </c>
      <c r="G540" s="441" t="s">
        <v>1116</v>
      </c>
      <c r="H540" s="441" t="s">
        <v>1341</v>
      </c>
      <c r="I540" s="441" t="s">
        <v>1342</v>
      </c>
      <c r="J540" s="441" t="b">
        <f t="shared" si="11"/>
        <v>1</v>
      </c>
    </row>
    <row r="541" spans="1:10" hidden="1" x14ac:dyDescent="0.25">
      <c r="A541" s="441" t="str">
        <f t="shared" si="13"/>
        <v>Residential_Building Shell_Attic Kneewall Insulation #1 (Electric Heat)_A_wall</v>
      </c>
      <c r="B541" t="s">
        <v>1095</v>
      </c>
      <c r="C541" t="s">
        <v>1099</v>
      </c>
      <c r="D541" t="s">
        <v>1340</v>
      </c>
      <c r="E541" s="442" t="s">
        <v>1344</v>
      </c>
      <c r="F541" s="453">
        <f>[18]Dashboard_FS!$O$6</f>
        <v>0</v>
      </c>
      <c r="G541" s="441" t="s">
        <v>1116</v>
      </c>
      <c r="H541" s="441" t="s">
        <v>1341</v>
      </c>
      <c r="I541" s="441" t="s">
        <v>1342</v>
      </c>
      <c r="J541" s="441" t="b">
        <f t="shared" si="11"/>
        <v>1</v>
      </c>
    </row>
    <row r="542" spans="1:10" hidden="1" x14ac:dyDescent="0.25">
      <c r="A542" s="441" t="str">
        <f t="shared" si="13"/>
        <v>Residential_Building Shell_Attic Kneewall Insulation #1 (Electric Heat)_Framing_factor_wall</v>
      </c>
      <c r="B542" t="s">
        <v>1095</v>
      </c>
      <c r="C542" t="s">
        <v>1099</v>
      </c>
      <c r="D542" t="s">
        <v>1340</v>
      </c>
      <c r="E542" s="444" t="s">
        <v>1345</v>
      </c>
      <c r="F542" s="454">
        <v>0.25</v>
      </c>
      <c r="H542" s="441" t="s">
        <v>1341</v>
      </c>
      <c r="I542" s="441" t="s">
        <v>1342</v>
      </c>
      <c r="J542" s="441" t="b">
        <f t="shared" si="11"/>
        <v>0</v>
      </c>
    </row>
    <row r="543" spans="1:10" hidden="1" x14ac:dyDescent="0.25">
      <c r="A543" s="441" t="str">
        <f t="shared" si="13"/>
        <v>Residential_Building Shell_Attic Kneewall Insulation #1 (Electric Heat)_24</v>
      </c>
      <c r="B543" t="s">
        <v>1095</v>
      </c>
      <c r="C543" t="s">
        <v>1099</v>
      </c>
      <c r="D543" t="s">
        <v>1340</v>
      </c>
      <c r="E543" s="444">
        <v>24</v>
      </c>
      <c r="F543" s="454">
        <v>24</v>
      </c>
      <c r="H543" s="441" t="s">
        <v>1341</v>
      </c>
      <c r="I543" s="441" t="s">
        <v>1342</v>
      </c>
      <c r="J543" s="441" t="b">
        <f t="shared" si="11"/>
        <v>0</v>
      </c>
    </row>
    <row r="544" spans="1:10" hidden="1" x14ac:dyDescent="0.25">
      <c r="A544" s="441" t="str">
        <f t="shared" si="13"/>
        <v>Residential_Building Shell_Attic Kneewall Insulation #1 (Electric Heat)_HDD</v>
      </c>
      <c r="B544" t="s">
        <v>1095</v>
      </c>
      <c r="C544" t="s">
        <v>1099</v>
      </c>
      <c r="D544" t="s">
        <v>1340</v>
      </c>
      <c r="E544" s="444" t="s">
        <v>1308</v>
      </c>
      <c r="F544" s="464">
        <f>INDEX('[18]CZ Inputs'!G:G,MATCH(A544&amp;"_"&amp;[18]Dashboard_EE!$K$3,'[18]CZ Inputs'!A:A,0))</f>
        <v>4266</v>
      </c>
      <c r="G544" s="441" t="s">
        <v>1297</v>
      </c>
      <c r="H544" s="441" t="s">
        <v>1341</v>
      </c>
      <c r="I544" s="441" t="s">
        <v>1342</v>
      </c>
      <c r="J544" s="441" t="b">
        <f t="shared" si="11"/>
        <v>1</v>
      </c>
    </row>
    <row r="545" spans="1:10" hidden="1" x14ac:dyDescent="0.25">
      <c r="A545" s="441" t="str">
        <f t="shared" si="13"/>
        <v>Residential_Building Shell_Attic Kneewall Insulation #1 (Electric Heat)_ηHeat</v>
      </c>
      <c r="B545" t="s">
        <v>1095</v>
      </c>
      <c r="C545" t="s">
        <v>1099</v>
      </c>
      <c r="D545" t="s">
        <v>1340</v>
      </c>
      <c r="E545" s="442" t="s">
        <v>1309</v>
      </c>
      <c r="F545" s="453">
        <f>[18]Dashboard_FS!$K$6</f>
        <v>0</v>
      </c>
      <c r="G545" s="441" t="s">
        <v>1116</v>
      </c>
      <c r="H545" s="441" t="s">
        <v>1341</v>
      </c>
      <c r="I545" s="441" t="s">
        <v>1342</v>
      </c>
      <c r="J545" s="441" t="b">
        <f t="shared" si="11"/>
        <v>1</v>
      </c>
    </row>
    <row r="546" spans="1:10" hidden="1" x14ac:dyDescent="0.25">
      <c r="A546" s="441" t="str">
        <f t="shared" si="13"/>
        <v>Residential_Building Shell_Attic Kneewall Insulation #1 (Electric Heat)_ηHeat_Mid-Life_Adj</v>
      </c>
      <c r="B546" t="s">
        <v>1095</v>
      </c>
      <c r="C546" t="s">
        <v>1099</v>
      </c>
      <c r="D546" t="s">
        <v>1340</v>
      </c>
      <c r="E546" s="442" t="s">
        <v>1310</v>
      </c>
      <c r="F546" s="453">
        <f>[18]Dashboard_FS!$K$6</f>
        <v>0</v>
      </c>
      <c r="G546" s="441" t="s">
        <v>1116</v>
      </c>
      <c r="H546" s="441" t="s">
        <v>1341</v>
      </c>
      <c r="I546" s="441" t="s">
        <v>1342</v>
      </c>
      <c r="J546" s="441" t="b">
        <f t="shared" si="11"/>
        <v>1</v>
      </c>
    </row>
    <row r="547" spans="1:10" hidden="1" x14ac:dyDescent="0.25">
      <c r="A547" s="441" t="str">
        <f t="shared" si="13"/>
        <v>Residential_Building Shell_Attic Kneewall Insulation #1 (Electric Heat)_3412</v>
      </c>
      <c r="B547" t="s">
        <v>1095</v>
      </c>
      <c r="C547" t="s">
        <v>1099</v>
      </c>
      <c r="D547" t="s">
        <v>1340</v>
      </c>
      <c r="E547" s="444">
        <v>3412</v>
      </c>
      <c r="F547" s="454">
        <v>3412</v>
      </c>
      <c r="H547" s="441" t="s">
        <v>1341</v>
      </c>
      <c r="I547" s="441" t="s">
        <v>1342</v>
      </c>
      <c r="J547" s="441" t="b">
        <f t="shared" si="11"/>
        <v>0</v>
      </c>
    </row>
    <row r="548" spans="1:10" hidden="1" x14ac:dyDescent="0.25">
      <c r="A548" s="441" t="str">
        <f t="shared" si="13"/>
        <v>Residential_Building Shell_Attic Kneewall Insulation #1 (Electric Heat)_ADJWallHeat</v>
      </c>
      <c r="B548" t="s">
        <v>1095</v>
      </c>
      <c r="C548" t="s">
        <v>1099</v>
      </c>
      <c r="D548" t="s">
        <v>1340</v>
      </c>
      <c r="E548" s="444" t="s">
        <v>1347</v>
      </c>
      <c r="F548" s="464">
        <v>0.63</v>
      </c>
      <c r="H548" s="441" t="s">
        <v>1341</v>
      </c>
      <c r="I548" s="441" t="s">
        <v>1342</v>
      </c>
      <c r="J548" s="441" t="b">
        <f t="shared" si="11"/>
        <v>0</v>
      </c>
    </row>
    <row r="549" spans="1:10" hidden="1" x14ac:dyDescent="0.25">
      <c r="A549" s="441" t="str">
        <f t="shared" si="13"/>
        <v>Residential_Building Shell_Attic Kneewall Insulation #1 (Electric Heat)_%ElectricHeat</v>
      </c>
      <c r="B549" t="s">
        <v>1095</v>
      </c>
      <c r="C549" t="s">
        <v>1099</v>
      </c>
      <c r="D549" t="s">
        <v>1340</v>
      </c>
      <c r="E549" s="444" t="s">
        <v>1277</v>
      </c>
      <c r="F549" s="454">
        <v>1</v>
      </c>
      <c r="G549" s="441" t="s">
        <v>1311</v>
      </c>
      <c r="H549" s="441" t="s">
        <v>1341</v>
      </c>
      <c r="I549" s="441" t="s">
        <v>1342</v>
      </c>
      <c r="J549" s="441" t="b">
        <f t="shared" si="11"/>
        <v>0</v>
      </c>
    </row>
    <row r="550" spans="1:10" hidden="1" x14ac:dyDescent="0.25">
      <c r="A550" s="441" t="str">
        <f t="shared" si="13"/>
        <v>Residential_Building Shell_Attic Kneewall Insulation #1 (Electric Heat)_Delta_kWh_heatingElectric</v>
      </c>
      <c r="B550" t="s">
        <v>1095</v>
      </c>
      <c r="C550" t="s">
        <v>1099</v>
      </c>
      <c r="D550" t="s">
        <v>1340</v>
      </c>
      <c r="E550" s="442" t="s">
        <v>1312</v>
      </c>
      <c r="F550" s="453" t="e">
        <f xml:space="preserve"> (((1/ F539 - 1/ F540) * F541 * (1 - F542) * F543 * F544) / (F545 * F547)) * F548 * F549</f>
        <v>#DIV/0!</v>
      </c>
      <c r="H550" s="441" t="s">
        <v>1341</v>
      </c>
      <c r="I550" s="441" t="s">
        <v>1342</v>
      </c>
      <c r="J550" s="441" t="b">
        <f t="shared" si="11"/>
        <v>1</v>
      </c>
    </row>
    <row r="551" spans="1:10" hidden="1" x14ac:dyDescent="0.25">
      <c r="A551" s="441" t="str">
        <f t="shared" si="13"/>
        <v>Residential_Building Shell_Attic Kneewall Insulation #1 (Electric Heat)_Delta_kWh_heatingElectric_Mid-Life_Adj</v>
      </c>
      <c r="B551" t="s">
        <v>1095</v>
      </c>
      <c r="C551" t="s">
        <v>1099</v>
      </c>
      <c r="D551" t="s">
        <v>1340</v>
      </c>
      <c r="E551" s="442" t="s">
        <v>1313</v>
      </c>
      <c r="F551" s="453" t="e">
        <f xml:space="preserve"> (((1/ F539 - 1/ F540) * F541 * (1 - F542) * F543 * F544) / (F546 * F547)) * F548 * F549</f>
        <v>#DIV/0!</v>
      </c>
      <c r="H551" s="441" t="s">
        <v>1341</v>
      </c>
      <c r="I551" s="441" t="s">
        <v>1342</v>
      </c>
      <c r="J551" s="441" t="b">
        <f t="shared" si="11"/>
        <v>1</v>
      </c>
    </row>
    <row r="552" spans="1:10" hidden="1" x14ac:dyDescent="0.25">
      <c r="A552" s="441" t="str">
        <f t="shared" si="13"/>
        <v>Residential_Building Shell_Attic Kneewall Insulation #1 (Electric Heat)_Delta_Therms</v>
      </c>
      <c r="B552" t="s">
        <v>1095</v>
      </c>
      <c r="C552" t="s">
        <v>1099</v>
      </c>
      <c r="D552" t="s">
        <v>1340</v>
      </c>
      <c r="E552" s="442" t="s">
        <v>1229</v>
      </c>
      <c r="F552" s="453" t="e">
        <f>F573</f>
        <v>#DIV/0!</v>
      </c>
      <c r="H552" s="441" t="s">
        <v>1341</v>
      </c>
      <c r="I552" s="441" t="s">
        <v>1342</v>
      </c>
      <c r="J552" s="441" t="b">
        <f t="shared" si="11"/>
        <v>1</v>
      </c>
    </row>
    <row r="553" spans="1:10" hidden="1" x14ac:dyDescent="0.25">
      <c r="A553" s="441" t="str">
        <f t="shared" si="13"/>
        <v>Residential_Building Shell_Attic Kneewall Insulation #1 (Electric Heat)_Delta_Therms_Mid-Life_Adj</v>
      </c>
      <c r="B553" t="s">
        <v>1095</v>
      </c>
      <c r="C553" t="s">
        <v>1099</v>
      </c>
      <c r="D553" t="s">
        <v>1340</v>
      </c>
      <c r="E553" s="442" t="s">
        <v>1348</v>
      </c>
      <c r="F553" s="453" t="e">
        <f>F574</f>
        <v>#DIV/0!</v>
      </c>
      <c r="H553" s="441" t="s">
        <v>1341</v>
      </c>
      <c r="I553" s="441" t="s">
        <v>1342</v>
      </c>
      <c r="J553" s="441" t="b">
        <f t="shared" si="11"/>
        <v>1</v>
      </c>
    </row>
    <row r="554" spans="1:10" hidden="1" x14ac:dyDescent="0.25">
      <c r="A554" s="441" t="str">
        <f t="shared" si="13"/>
        <v>Residential_Building Shell_Attic Kneewall Insulation #1 (Electric Heat)_Fe</v>
      </c>
      <c r="B554" t="s">
        <v>1095</v>
      </c>
      <c r="C554" t="s">
        <v>1099</v>
      </c>
      <c r="D554" t="s">
        <v>1340</v>
      </c>
      <c r="E554" s="444" t="s">
        <v>1127</v>
      </c>
      <c r="F554" s="454">
        <v>3.1399999999999997E-2</v>
      </c>
      <c r="H554" s="441" t="s">
        <v>1341</v>
      </c>
      <c r="I554" s="441" t="s">
        <v>1342</v>
      </c>
      <c r="J554" s="441" t="b">
        <f t="shared" si="11"/>
        <v>0</v>
      </c>
    </row>
    <row r="555" spans="1:10" hidden="1" x14ac:dyDescent="0.25">
      <c r="A555" s="441" t="str">
        <f t="shared" si="13"/>
        <v>Residential_Building Shell_Attic Kneewall Insulation #1 (Electric Heat)_29.3</v>
      </c>
      <c r="B555" t="s">
        <v>1095</v>
      </c>
      <c r="C555" t="s">
        <v>1099</v>
      </c>
      <c r="D555" t="s">
        <v>1340</v>
      </c>
      <c r="E555" s="444">
        <v>29.3</v>
      </c>
      <c r="F555" s="454">
        <v>29.3</v>
      </c>
      <c r="H555" s="441" t="s">
        <v>1341</v>
      </c>
      <c r="I555" s="441" t="s">
        <v>1342</v>
      </c>
      <c r="J555" s="441" t="b">
        <f t="shared" si="11"/>
        <v>0</v>
      </c>
    </row>
    <row r="556" spans="1:10" hidden="1" x14ac:dyDescent="0.25">
      <c r="A556" s="441" t="str">
        <f t="shared" si="13"/>
        <v>Residential_Building Shell_Attic Kneewall Insulation #1 (Electric Heat)_Delta_kWh_heatingGas</v>
      </c>
      <c r="B556" t="s">
        <v>1095</v>
      </c>
      <c r="C556" t="s">
        <v>1099</v>
      </c>
      <c r="D556" t="s">
        <v>1340</v>
      </c>
      <c r="E556" s="442" t="s">
        <v>1315</v>
      </c>
      <c r="F556" s="453" t="e">
        <f>F552*F554*F555</f>
        <v>#DIV/0!</v>
      </c>
      <c r="H556" s="441" t="s">
        <v>1341</v>
      </c>
      <c r="I556" s="441" t="s">
        <v>1342</v>
      </c>
      <c r="J556" s="441" t="b">
        <f t="shared" si="11"/>
        <v>1</v>
      </c>
    </row>
    <row r="557" spans="1:10" hidden="1" x14ac:dyDescent="0.25">
      <c r="A557" s="441" t="str">
        <f t="shared" si="13"/>
        <v>Residential_Building Shell_Attic Kneewall Insulation #1 (Electric Heat)_Delta_kWh_heatingGas_Mid-Life_Adj</v>
      </c>
      <c r="B557" t="s">
        <v>1095</v>
      </c>
      <c r="C557" t="s">
        <v>1099</v>
      </c>
      <c r="D557" t="s">
        <v>1340</v>
      </c>
      <c r="E557" s="442" t="s">
        <v>1316</v>
      </c>
      <c r="F557" s="453" t="e">
        <f>F553*F554*F555</f>
        <v>#DIV/0!</v>
      </c>
      <c r="H557" s="441" t="s">
        <v>1341</v>
      </c>
      <c r="I557" s="441" t="s">
        <v>1342</v>
      </c>
      <c r="J557" s="441" t="b">
        <f t="shared" si="11"/>
        <v>1</v>
      </c>
    </row>
    <row r="558" spans="1:10" hidden="1" x14ac:dyDescent="0.25">
      <c r="A558" s="441" t="str">
        <f t="shared" si="13"/>
        <v>Residential_Building Shell_Attic Kneewall Insulation #1 (Electric Heat)_FLH_cooling</v>
      </c>
      <c r="B558" t="s">
        <v>1095</v>
      </c>
      <c r="C558" t="s">
        <v>1099</v>
      </c>
      <c r="D558" t="s">
        <v>1340</v>
      </c>
      <c r="E558" s="444" t="s">
        <v>1317</v>
      </c>
      <c r="F558" s="464">
        <f>INDEX('[18]CZ Inputs'!G:G,MATCH(A558&amp;"_"&amp;[18]Dashboard_EE!$K$3,'[18]CZ Inputs'!A:A,0))</f>
        <v>779</v>
      </c>
      <c r="G558" s="441" t="s">
        <v>1297</v>
      </c>
      <c r="H558" s="441" t="s">
        <v>1341</v>
      </c>
      <c r="I558" s="441" t="s">
        <v>1342</v>
      </c>
      <c r="J558" s="441" t="b">
        <f t="shared" si="11"/>
        <v>1</v>
      </c>
    </row>
    <row r="559" spans="1:10" hidden="1" x14ac:dyDescent="0.25">
      <c r="A559" s="441" t="str">
        <f t="shared" si="13"/>
        <v>Residential_Building Shell_Attic Kneewall Insulation #1 (Electric Heat)_CF</v>
      </c>
      <c r="B559" t="s">
        <v>1095</v>
      </c>
      <c r="C559" t="s">
        <v>1099</v>
      </c>
      <c r="D559" t="s">
        <v>1340</v>
      </c>
      <c r="E559" s="444" t="s">
        <v>1153</v>
      </c>
      <c r="F559" s="454">
        <v>0.68</v>
      </c>
      <c r="G559" s="441" t="s">
        <v>1195</v>
      </c>
      <c r="H559" s="441" t="s">
        <v>1341</v>
      </c>
      <c r="I559" s="441" t="s">
        <v>1342</v>
      </c>
      <c r="J559" s="441" t="b">
        <f t="shared" si="11"/>
        <v>0</v>
      </c>
    </row>
    <row r="560" spans="1:10" hidden="1" x14ac:dyDescent="0.25">
      <c r="A560" s="441" t="str">
        <f t="shared" si="13"/>
        <v>Residential_Building Shell_Attic Kneewall Insulation #1 (Electric Heat)_Delta_kW</v>
      </c>
      <c r="B560" t="s">
        <v>1095</v>
      </c>
      <c r="C560" t="s">
        <v>1099</v>
      </c>
      <c r="D560" t="s">
        <v>1340</v>
      </c>
      <c r="E560" s="442" t="s">
        <v>1155</v>
      </c>
      <c r="F560" s="453" t="e">
        <f>(F537/F558)*F559</f>
        <v>#DIV/0!</v>
      </c>
      <c r="H560" s="441" t="s">
        <v>1341</v>
      </c>
      <c r="I560" s="441" t="s">
        <v>1342</v>
      </c>
      <c r="J560" s="441" t="b">
        <f t="shared" si="11"/>
        <v>1</v>
      </c>
    </row>
    <row r="561" spans="1:10" hidden="1" x14ac:dyDescent="0.25">
      <c r="A561" s="441" t="str">
        <f t="shared" si="13"/>
        <v>Residential_Building Shell_Attic Kneewall Insulation #1 (Electric Heat)_Delta_kW_Mid-Life_Adj</v>
      </c>
      <c r="B561" t="s">
        <v>1095</v>
      </c>
      <c r="C561" t="s">
        <v>1099</v>
      </c>
      <c r="D561" t="s">
        <v>1340</v>
      </c>
      <c r="E561" s="442" t="s">
        <v>1318</v>
      </c>
      <c r="F561" s="453" t="e">
        <f>(F538/F558)*F559</f>
        <v>#DIV/0!</v>
      </c>
      <c r="H561" s="441" t="s">
        <v>1341</v>
      </c>
      <c r="I561" s="441" t="s">
        <v>1342</v>
      </c>
      <c r="J561" s="441" t="b">
        <f t="shared" si="11"/>
        <v>1</v>
      </c>
    </row>
    <row r="562" spans="1:10" hidden="1" x14ac:dyDescent="0.25">
      <c r="A562" s="441" t="str">
        <f t="shared" si="13"/>
        <v>Residential_Building Shell_Attic Kneewall Insulation #1 (Electric Heat)_R_old</v>
      </c>
      <c r="B562" t="s">
        <v>1095</v>
      </c>
      <c r="C562" t="s">
        <v>1099</v>
      </c>
      <c r="D562" t="s">
        <v>1340</v>
      </c>
      <c r="E562" s="442" t="s">
        <v>1328</v>
      </c>
      <c r="F562" s="453">
        <f>[18]Dashboard_FS!$O$17</f>
        <v>1</v>
      </c>
      <c r="G562" s="441" t="s">
        <v>1116</v>
      </c>
      <c r="H562" s="441" t="s">
        <v>1341</v>
      </c>
      <c r="I562" s="441" t="s">
        <v>1342</v>
      </c>
      <c r="J562" s="441" t="b">
        <f t="shared" si="11"/>
        <v>1</v>
      </c>
    </row>
    <row r="563" spans="1:10" hidden="1" x14ac:dyDescent="0.25">
      <c r="A563" s="441" t="str">
        <f t="shared" si="13"/>
        <v>Residential_Building Shell_Attic Kneewall Insulation #1 (Electric Heat)_R_wall</v>
      </c>
      <c r="B563" t="s">
        <v>1095</v>
      </c>
      <c r="C563" t="s">
        <v>1099</v>
      </c>
      <c r="D563" t="s">
        <v>1340</v>
      </c>
      <c r="E563" s="442" t="s">
        <v>1343</v>
      </c>
      <c r="F563" s="453">
        <f>[18]Dashboard_FS!$P$17</f>
        <v>0</v>
      </c>
      <c r="G563" s="441" t="s">
        <v>1116</v>
      </c>
      <c r="H563" s="441" t="s">
        <v>1341</v>
      </c>
      <c r="I563" s="441" t="s">
        <v>1342</v>
      </c>
      <c r="J563" s="441" t="b">
        <f t="shared" si="11"/>
        <v>1</v>
      </c>
    </row>
    <row r="564" spans="1:10" hidden="1" x14ac:dyDescent="0.25">
      <c r="A564" s="441" t="str">
        <f t="shared" si="13"/>
        <v>Residential_Building Shell_Attic Kneewall Insulation #1 (Electric Heat)_A_wall</v>
      </c>
      <c r="B564" t="s">
        <v>1095</v>
      </c>
      <c r="C564" t="s">
        <v>1099</v>
      </c>
      <c r="D564" t="s">
        <v>1340</v>
      </c>
      <c r="E564" s="442" t="s">
        <v>1344</v>
      </c>
      <c r="F564" s="453">
        <f>[18]Dashboard_FS!$O$6</f>
        <v>0</v>
      </c>
      <c r="G564" s="441" t="s">
        <v>1116</v>
      </c>
      <c r="H564" s="441" t="s">
        <v>1341</v>
      </c>
      <c r="I564" s="441" t="s">
        <v>1342</v>
      </c>
      <c r="J564" s="441" t="b">
        <f t="shared" si="11"/>
        <v>1</v>
      </c>
    </row>
    <row r="565" spans="1:10" hidden="1" x14ac:dyDescent="0.25">
      <c r="A565" s="441" t="str">
        <f t="shared" si="13"/>
        <v>Residential_Building Shell_Attic Kneewall Insulation #1 (Electric Heat)_Framing_factor_wall</v>
      </c>
      <c r="B565" t="s">
        <v>1095</v>
      </c>
      <c r="C565" t="s">
        <v>1099</v>
      </c>
      <c r="D565" t="s">
        <v>1340</v>
      </c>
      <c r="E565" s="444" t="s">
        <v>1345</v>
      </c>
      <c r="F565" s="454">
        <v>0.25</v>
      </c>
      <c r="H565" s="441" t="s">
        <v>1341</v>
      </c>
      <c r="I565" s="441" t="s">
        <v>1342</v>
      </c>
      <c r="J565" s="441" t="b">
        <f t="shared" si="11"/>
        <v>0</v>
      </c>
    </row>
    <row r="566" spans="1:10" hidden="1" x14ac:dyDescent="0.25">
      <c r="A566" s="441" t="str">
        <f t="shared" si="13"/>
        <v>Residential_Building Shell_Attic Kneewall Insulation #1 (Electric Heat)_24</v>
      </c>
      <c r="B566" t="s">
        <v>1095</v>
      </c>
      <c r="C566" t="s">
        <v>1099</v>
      </c>
      <c r="D566" t="s">
        <v>1340</v>
      </c>
      <c r="E566" s="444">
        <v>24</v>
      </c>
      <c r="F566" s="454">
        <v>24</v>
      </c>
      <c r="H566" s="441" t="s">
        <v>1341</v>
      </c>
      <c r="I566" s="441" t="s">
        <v>1342</v>
      </c>
      <c r="J566" s="441" t="b">
        <f t="shared" si="11"/>
        <v>0</v>
      </c>
    </row>
    <row r="567" spans="1:10" hidden="1" x14ac:dyDescent="0.25">
      <c r="A567" s="441" t="str">
        <f t="shared" si="13"/>
        <v>Residential_Building Shell_Attic Kneewall Insulation #1 (Electric Heat)_HDD</v>
      </c>
      <c r="B567" t="s">
        <v>1095</v>
      </c>
      <c r="C567" t="s">
        <v>1099</v>
      </c>
      <c r="D567" t="s">
        <v>1340</v>
      </c>
      <c r="E567" s="444" t="s">
        <v>1308</v>
      </c>
      <c r="F567" s="464">
        <f>INDEX('[18]CZ Inputs'!G:G,MATCH(A567&amp;"_"&amp;[18]Dashboard_EE!$K$3,'[18]CZ Inputs'!A:A,0))</f>
        <v>4266</v>
      </c>
      <c r="G567" s="441" t="s">
        <v>1297</v>
      </c>
      <c r="H567" s="441" t="s">
        <v>1341</v>
      </c>
      <c r="I567" s="441" t="s">
        <v>1342</v>
      </c>
      <c r="J567" s="441" t="b">
        <f t="shared" si="11"/>
        <v>1</v>
      </c>
    </row>
    <row r="568" spans="1:10" hidden="1" x14ac:dyDescent="0.25">
      <c r="A568" s="441" t="str">
        <f t="shared" ref="A568:A631" si="14">B568&amp;"_"&amp;C568&amp;"_"&amp;D568&amp;"_"&amp;E568</f>
        <v>Residential_Building Shell_Attic Kneewall Insulation #1 (Electric Heat)_ηHeat</v>
      </c>
      <c r="B568" t="s">
        <v>1095</v>
      </c>
      <c r="C568" t="s">
        <v>1099</v>
      </c>
      <c r="D568" t="s">
        <v>1340</v>
      </c>
      <c r="E568" s="442" t="s">
        <v>1309</v>
      </c>
      <c r="F568" s="453">
        <f>[18]Dashboard_FS!$K$8</f>
        <v>0</v>
      </c>
      <c r="G568" s="441" t="s">
        <v>1116</v>
      </c>
      <c r="H568" s="441" t="s">
        <v>1341</v>
      </c>
      <c r="I568" s="441" t="s">
        <v>1342</v>
      </c>
      <c r="J568" s="441" t="b">
        <f t="shared" si="11"/>
        <v>1</v>
      </c>
    </row>
    <row r="569" spans="1:10" hidden="1" x14ac:dyDescent="0.25">
      <c r="A569" s="441" t="str">
        <f t="shared" si="14"/>
        <v>Residential_Building Shell_Attic Kneewall Insulation #1 (Electric Heat)_ηHeat_Mid-Life_Adj</v>
      </c>
      <c r="B569" t="s">
        <v>1095</v>
      </c>
      <c r="C569" t="s">
        <v>1099</v>
      </c>
      <c r="D569" t="s">
        <v>1340</v>
      </c>
      <c r="E569" s="442" t="s">
        <v>1310</v>
      </c>
      <c r="F569" s="453">
        <f>[18]Dashboard_FS!$K$8</f>
        <v>0</v>
      </c>
      <c r="G569" s="441" t="s">
        <v>1116</v>
      </c>
      <c r="H569" s="441" t="s">
        <v>1341</v>
      </c>
      <c r="I569" s="441" t="s">
        <v>1342</v>
      </c>
      <c r="J569" s="441" t="b">
        <f t="shared" si="11"/>
        <v>1</v>
      </c>
    </row>
    <row r="570" spans="1:10" hidden="1" x14ac:dyDescent="0.25">
      <c r="A570" s="441" t="str">
        <f t="shared" si="14"/>
        <v>Residential_Building Shell_Attic Kneewall Insulation #1 (Electric Heat)_100000</v>
      </c>
      <c r="B570" t="s">
        <v>1095</v>
      </c>
      <c r="C570" t="s">
        <v>1099</v>
      </c>
      <c r="D570" t="s">
        <v>1340</v>
      </c>
      <c r="E570" s="444">
        <v>100000</v>
      </c>
      <c r="F570" s="454">
        <v>100000</v>
      </c>
      <c r="H570" s="441" t="s">
        <v>1341</v>
      </c>
      <c r="I570" s="441" t="s">
        <v>1342</v>
      </c>
      <c r="J570" s="441" t="b">
        <f t="shared" si="11"/>
        <v>0</v>
      </c>
    </row>
    <row r="571" spans="1:10" hidden="1" x14ac:dyDescent="0.25">
      <c r="A571" s="441" t="str">
        <f t="shared" si="14"/>
        <v>Residential_Building Shell_Attic Kneewall Insulation #1 (Electric Heat)_ADJWallHeat</v>
      </c>
      <c r="B571" t="s">
        <v>1095</v>
      </c>
      <c r="C571" t="s">
        <v>1099</v>
      </c>
      <c r="D571" t="s">
        <v>1340</v>
      </c>
      <c r="E571" s="444" t="s">
        <v>1347</v>
      </c>
      <c r="F571" s="464">
        <v>0.63</v>
      </c>
      <c r="H571" s="441" t="s">
        <v>1341</v>
      </c>
      <c r="I571" s="441" t="s">
        <v>1342</v>
      </c>
      <c r="J571" s="441" t="b">
        <f t="shared" si="11"/>
        <v>0</v>
      </c>
    </row>
    <row r="572" spans="1:10" hidden="1" x14ac:dyDescent="0.25">
      <c r="A572" s="441" t="str">
        <f t="shared" si="14"/>
        <v>Residential_Building Shell_Attic Kneewall Insulation #1 (Electric Heat)_%GasHeat</v>
      </c>
      <c r="B572" t="s">
        <v>1095</v>
      </c>
      <c r="C572" t="s">
        <v>1099</v>
      </c>
      <c r="D572" t="s">
        <v>1340</v>
      </c>
      <c r="E572" s="444" t="s">
        <v>1338</v>
      </c>
      <c r="F572" s="454">
        <v>0</v>
      </c>
      <c r="G572" s="441" t="s">
        <v>1311</v>
      </c>
      <c r="H572" s="441" t="s">
        <v>1341</v>
      </c>
      <c r="I572" s="441" t="s">
        <v>1342</v>
      </c>
      <c r="J572" s="441" t="b">
        <f t="shared" si="11"/>
        <v>0</v>
      </c>
    </row>
    <row r="573" spans="1:10" hidden="1" x14ac:dyDescent="0.25">
      <c r="A573" s="441" t="str">
        <f t="shared" si="14"/>
        <v>Residential_Building Shell_Attic Kneewall Insulation #1 (Electric Heat)_Delta_Therms</v>
      </c>
      <c r="B573" t="s">
        <v>1095</v>
      </c>
      <c r="C573" t="s">
        <v>1099</v>
      </c>
      <c r="D573" t="s">
        <v>1340</v>
      </c>
      <c r="E573" s="442" t="s">
        <v>1229</v>
      </c>
      <c r="F573" s="453" t="e">
        <f xml:space="preserve"> (((1/ F562 - 1/ F563) * F564 * (1 - F565) * F566 * F567) / (F568 * F570)) * F571 * F572</f>
        <v>#DIV/0!</v>
      </c>
      <c r="H573" s="441" t="s">
        <v>1341</v>
      </c>
      <c r="I573" s="441" t="s">
        <v>1342</v>
      </c>
      <c r="J573" s="441" t="b">
        <f t="shared" si="11"/>
        <v>1</v>
      </c>
    </row>
    <row r="574" spans="1:10" hidden="1" x14ac:dyDescent="0.25">
      <c r="A574" s="441" t="str">
        <f t="shared" si="14"/>
        <v>Residential_Building Shell_Attic Kneewall Insulation #1 (Electric Heat)_Delta_Therms_Mid-Life_Adj</v>
      </c>
      <c r="B574" t="s">
        <v>1095</v>
      </c>
      <c r="C574" t="s">
        <v>1099</v>
      </c>
      <c r="D574" t="s">
        <v>1340</v>
      </c>
      <c r="E574" s="442" t="s">
        <v>1348</v>
      </c>
      <c r="F574" s="453" t="e">
        <f xml:space="preserve"> (((1/ F562 - 1/ F563) * F564 * (1 - F565) * F566 * F567) / (F569 * F570)) * F571 * F572</f>
        <v>#DIV/0!</v>
      </c>
      <c r="H574" s="441" t="s">
        <v>1341</v>
      </c>
      <c r="I574" s="441" t="s">
        <v>1342</v>
      </c>
      <c r="J574" s="441" t="b">
        <f t="shared" si="11"/>
        <v>1</v>
      </c>
    </row>
    <row r="575" spans="1:10" hidden="1" x14ac:dyDescent="0.25">
      <c r="A575" s="441" t="str">
        <f t="shared" si="14"/>
        <v>Residential_Building Shell_Attic Kneewall Insulation #1 (Electric Heat)_Remaining Year kWh</v>
      </c>
      <c r="B575" t="s">
        <v>1095</v>
      </c>
      <c r="C575" t="s">
        <v>1099</v>
      </c>
      <c r="D575" t="s">
        <v>1340</v>
      </c>
      <c r="E575" s="450" t="s">
        <v>1322</v>
      </c>
      <c r="F575" s="456" t="e">
        <f>F537+F550+F556</f>
        <v>#DIV/0!</v>
      </c>
      <c r="H575" s="441" t="s">
        <v>1341</v>
      </c>
      <c r="I575" s="441" t="s">
        <v>1342</v>
      </c>
      <c r="J575" s="441" t="b">
        <f t="shared" si="11"/>
        <v>1</v>
      </c>
    </row>
    <row r="576" spans="1:10" hidden="1" x14ac:dyDescent="0.25">
      <c r="A576" s="441" t="str">
        <f t="shared" si="14"/>
        <v>Residential_Building Shell_Attic Kneewall Insulation #1 (Electric Heat)_kWh Saved per Unit</v>
      </c>
      <c r="B576" t="s">
        <v>1095</v>
      </c>
      <c r="C576" t="s">
        <v>1099</v>
      </c>
      <c r="D576" t="s">
        <v>1340</v>
      </c>
      <c r="E576" s="450" t="s">
        <v>1156</v>
      </c>
      <c r="F576" s="456" t="e">
        <f>F538+F551+F557</f>
        <v>#DIV/0!</v>
      </c>
      <c r="H576" s="441" t="s">
        <v>1341</v>
      </c>
      <c r="I576" s="441" t="s">
        <v>1342</v>
      </c>
      <c r="J576" s="441" t="b">
        <f t="shared" si="11"/>
        <v>1</v>
      </c>
    </row>
    <row r="577" spans="1:10" hidden="1" x14ac:dyDescent="0.25">
      <c r="A577" s="441" t="str">
        <f t="shared" si="14"/>
        <v>Residential_Building Shell_Attic Kneewall Insulation #1 (Electric Heat)_Remaining Year kW</v>
      </c>
      <c r="B577" t="s">
        <v>1095</v>
      </c>
      <c r="C577" t="s">
        <v>1099</v>
      </c>
      <c r="D577" t="s">
        <v>1340</v>
      </c>
      <c r="E577" s="450" t="s">
        <v>1323</v>
      </c>
      <c r="F577" s="456" t="e">
        <f>F560</f>
        <v>#DIV/0!</v>
      </c>
      <c r="H577" s="441" t="s">
        <v>1341</v>
      </c>
      <c r="I577" s="441" t="s">
        <v>1342</v>
      </c>
      <c r="J577" s="441" t="b">
        <f t="shared" si="11"/>
        <v>1</v>
      </c>
    </row>
    <row r="578" spans="1:10" hidden="1" x14ac:dyDescent="0.25">
      <c r="A578" s="441" t="str">
        <f t="shared" si="14"/>
        <v>Residential_Building Shell_Attic Kneewall Insulation #1 (Electric Heat)_Coincident Peak kW Saved per Unit</v>
      </c>
      <c r="B578" t="s">
        <v>1095</v>
      </c>
      <c r="C578" t="s">
        <v>1099</v>
      </c>
      <c r="D578" t="s">
        <v>1340</v>
      </c>
      <c r="E578" s="450" t="s">
        <v>1157</v>
      </c>
      <c r="F578" s="456" t="e">
        <f>F561</f>
        <v>#DIV/0!</v>
      </c>
      <c r="H578" s="441" t="s">
        <v>1341</v>
      </c>
      <c r="I578" s="441" t="s">
        <v>1342</v>
      </c>
      <c r="J578" s="441" t="b">
        <f t="shared" si="11"/>
        <v>1</v>
      </c>
    </row>
    <row r="579" spans="1:10" hidden="1" x14ac:dyDescent="0.25">
      <c r="A579" s="441" t="str">
        <f t="shared" si="14"/>
        <v>Residential_Building Shell_Attic Kneewall Insulation #1 (Electric Heat)_Remaining Year Therms</v>
      </c>
      <c r="B579" t="s">
        <v>1095</v>
      </c>
      <c r="C579" t="s">
        <v>1099</v>
      </c>
      <c r="D579" t="s">
        <v>1340</v>
      </c>
      <c r="E579" s="450" t="s">
        <v>1324</v>
      </c>
      <c r="F579" s="456" t="e">
        <f>F573</f>
        <v>#DIV/0!</v>
      </c>
      <c r="H579" s="441" t="s">
        <v>1341</v>
      </c>
      <c r="I579" s="441" t="s">
        <v>1342</v>
      </c>
      <c r="J579" s="441" t="b">
        <f t="shared" si="11"/>
        <v>1</v>
      </c>
    </row>
    <row r="580" spans="1:10" hidden="1" x14ac:dyDescent="0.25">
      <c r="A580" s="441" t="str">
        <f t="shared" si="14"/>
        <v>Residential_Building Shell_Attic Kneewall Insulation #1 (Electric Heat)_Therms Saved per Unit</v>
      </c>
      <c r="B580" t="s">
        <v>1095</v>
      </c>
      <c r="C580" t="s">
        <v>1099</v>
      </c>
      <c r="D580" t="s">
        <v>1340</v>
      </c>
      <c r="E580" s="450" t="s">
        <v>1251</v>
      </c>
      <c r="F580" s="456" t="e">
        <f>F574</f>
        <v>#DIV/0!</v>
      </c>
      <c r="H580" s="441" t="s">
        <v>1341</v>
      </c>
      <c r="I580" s="441" t="s">
        <v>1342</v>
      </c>
      <c r="J580" s="441" t="b">
        <f t="shared" si="11"/>
        <v>1</v>
      </c>
    </row>
    <row r="581" spans="1:10" hidden="1" x14ac:dyDescent="0.25">
      <c r="A581" s="441" t="str">
        <f t="shared" si="14"/>
        <v>Residential_Building Shell_Attic Kneewall Insulation #1 (Electric Heat)_Remaining Life</v>
      </c>
      <c r="B581" t="s">
        <v>1095</v>
      </c>
      <c r="C581" t="s">
        <v>1099</v>
      </c>
      <c r="D581" t="s">
        <v>1340</v>
      </c>
      <c r="E581" s="450" t="s">
        <v>1325</v>
      </c>
      <c r="F581" s="456">
        <v>10</v>
      </c>
      <c r="H581" s="441" t="s">
        <v>1341</v>
      </c>
      <c r="I581" s="441" t="s">
        <v>1342</v>
      </c>
      <c r="J581" s="441" t="b">
        <f t="shared" si="11"/>
        <v>0</v>
      </c>
    </row>
    <row r="582" spans="1:10" hidden="1" x14ac:dyDescent="0.25">
      <c r="A582" s="441" t="str">
        <f t="shared" si="14"/>
        <v>Residential_Building Shell_Attic Kneewall Insulation #1 (Electric Heat)_Lifetime (years)</v>
      </c>
      <c r="B582" t="s">
        <v>1095</v>
      </c>
      <c r="C582" t="s">
        <v>1099</v>
      </c>
      <c r="D582" t="s">
        <v>1340</v>
      </c>
      <c r="E582" s="450" t="s">
        <v>1160</v>
      </c>
      <c r="F582" s="457">
        <v>30</v>
      </c>
      <c r="H582" s="441" t="s">
        <v>1341</v>
      </c>
      <c r="I582" s="441" t="s">
        <v>1342</v>
      </c>
      <c r="J582" s="441" t="b">
        <f t="shared" si="11"/>
        <v>0</v>
      </c>
    </row>
    <row r="583" spans="1:10" hidden="1" x14ac:dyDescent="0.25">
      <c r="A583" s="441" t="str">
        <f t="shared" si="14"/>
        <v>Residential_Building Shell_Attic Kneewall Insulation #1 (Electric Heat)_Incremental Cost</v>
      </c>
      <c r="B583" t="s">
        <v>1095</v>
      </c>
      <c r="C583" t="s">
        <v>1099</v>
      </c>
      <c r="D583" t="s">
        <v>1340</v>
      </c>
      <c r="E583" s="450" t="s">
        <v>1161</v>
      </c>
      <c r="F583" s="452">
        <f>0.9*F527</f>
        <v>0</v>
      </c>
      <c r="G583" s="441" t="s">
        <v>1326</v>
      </c>
      <c r="H583" s="441" t="s">
        <v>1341</v>
      </c>
      <c r="I583" s="441" t="s">
        <v>1342</v>
      </c>
      <c r="J583" s="441" t="b">
        <f t="shared" si="11"/>
        <v>1</v>
      </c>
    </row>
    <row r="584" spans="1:10" hidden="1" x14ac:dyDescent="0.25">
      <c r="A584" s="441" t="str">
        <f t="shared" si="14"/>
        <v>Residential_Building Shell_Attic Kneewall Insulation #1 (Electric Heat)_BTU Impact_Existing_Fossil Fuel</v>
      </c>
      <c r="B584" t="s">
        <v>1095</v>
      </c>
      <c r="C584" t="s">
        <v>1099</v>
      </c>
      <c r="D584" t="s">
        <v>1340</v>
      </c>
      <c r="E584" s="450" t="s">
        <v>1163</v>
      </c>
      <c r="F584" s="451">
        <v>0</v>
      </c>
      <c r="H584" s="441" t="s">
        <v>1341</v>
      </c>
      <c r="I584" s="441" t="s">
        <v>1342</v>
      </c>
      <c r="J584" s="441" t="b">
        <f t="shared" si="11"/>
        <v>0</v>
      </c>
    </row>
    <row r="585" spans="1:10" hidden="1" x14ac:dyDescent="0.25">
      <c r="A585" s="441" t="str">
        <f t="shared" si="14"/>
        <v>Residential_Building Shell_Attic Kneewall Insulation #1 (Electric Heat)_BTU Impact_Existing_Winter Electricity</v>
      </c>
      <c r="B585" t="s">
        <v>1095</v>
      </c>
      <c r="C585" t="s">
        <v>1099</v>
      </c>
      <c r="D585" t="s">
        <v>1340</v>
      </c>
      <c r="E585" s="450" t="s">
        <v>1164</v>
      </c>
      <c r="F585" s="451">
        <v>0</v>
      </c>
      <c r="H585" s="441" t="s">
        <v>1341</v>
      </c>
      <c r="I585" s="441" t="s">
        <v>1342</v>
      </c>
      <c r="J585" s="441" t="b">
        <f t="shared" si="11"/>
        <v>0</v>
      </c>
    </row>
    <row r="586" spans="1:10" hidden="1" x14ac:dyDescent="0.25">
      <c r="A586" s="441" t="str">
        <f t="shared" si="14"/>
        <v>Residential_Building Shell_Attic Kneewall Insulation #1 (Electric Heat)_BTU Impact_Existing_Summer Electricity</v>
      </c>
      <c r="B586" t="s">
        <v>1095</v>
      </c>
      <c r="C586" t="s">
        <v>1099</v>
      </c>
      <c r="D586" t="s">
        <v>1340</v>
      </c>
      <c r="E586" s="450" t="s">
        <v>1165</v>
      </c>
      <c r="F586" s="451">
        <v>0</v>
      </c>
      <c r="H586" s="441" t="s">
        <v>1341</v>
      </c>
      <c r="I586" s="441" t="s">
        <v>1342</v>
      </c>
      <c r="J586" s="441" t="b">
        <f t="shared" si="11"/>
        <v>0</v>
      </c>
    </row>
    <row r="587" spans="1:10" hidden="1" x14ac:dyDescent="0.25">
      <c r="A587" s="441" t="str">
        <f t="shared" si="14"/>
        <v>Residential_Building Shell_Attic Kneewall Insulation #1 (Electric Heat)_BTU Impact_New_Fossil Fuel</v>
      </c>
      <c r="B587" t="s">
        <v>1095</v>
      </c>
      <c r="C587" t="s">
        <v>1099</v>
      </c>
      <c r="D587" t="s">
        <v>1340</v>
      </c>
      <c r="E587" s="450" t="s">
        <v>1166</v>
      </c>
      <c r="F587" s="451">
        <v>0</v>
      </c>
      <c r="H587" s="441" t="s">
        <v>1341</v>
      </c>
      <c r="I587" s="441" t="s">
        <v>1342</v>
      </c>
      <c r="J587" s="441" t="b">
        <f t="shared" si="11"/>
        <v>0</v>
      </c>
    </row>
    <row r="588" spans="1:10" hidden="1" x14ac:dyDescent="0.25">
      <c r="A588" s="441" t="str">
        <f t="shared" si="14"/>
        <v>Residential_Building Shell_Attic Kneewall Insulation #1 (Electric Heat)_BTU Impact_New_Winter Electricity</v>
      </c>
      <c r="B588" t="s">
        <v>1095</v>
      </c>
      <c r="C588" t="s">
        <v>1099</v>
      </c>
      <c r="D588" t="s">
        <v>1340</v>
      </c>
      <c r="E588" s="450" t="s">
        <v>1167</v>
      </c>
      <c r="F588" s="451" t="e">
        <f>-F550*3412</f>
        <v>#DIV/0!</v>
      </c>
      <c r="H588" s="441" t="s">
        <v>1341</v>
      </c>
      <c r="I588" s="441" t="s">
        <v>1342</v>
      </c>
      <c r="J588" s="441" t="b">
        <f t="shared" si="11"/>
        <v>1</v>
      </c>
    </row>
    <row r="589" spans="1:10" hidden="1" x14ac:dyDescent="0.25">
      <c r="A589" s="441" t="str">
        <f t="shared" si="14"/>
        <v>Residential_Building Shell_Attic Kneewall Insulation #1 (Electric Heat)_BTU Impact_New_Summer Electricity</v>
      </c>
      <c r="B589" t="s">
        <v>1095</v>
      </c>
      <c r="C589" t="s">
        <v>1099</v>
      </c>
      <c r="D589" t="s">
        <v>1340</v>
      </c>
      <c r="E589" s="450" t="s">
        <v>1168</v>
      </c>
      <c r="F589" s="451" t="e">
        <f>-F537*3412</f>
        <v>#DIV/0!</v>
      </c>
      <c r="H589" s="441" t="s">
        <v>1341</v>
      </c>
      <c r="I589" s="441" t="s">
        <v>1342</v>
      </c>
      <c r="J589" s="441" t="b">
        <f t="shared" si="11"/>
        <v>1</v>
      </c>
    </row>
    <row r="590" spans="1:10" hidden="1" x14ac:dyDescent="0.25">
      <c r="A590" s="441" t="str">
        <f t="shared" si="14"/>
        <v>Residential_Building Shell_Attic Kneewall Insulation #1 (Electric Heat)_</v>
      </c>
      <c r="B590" t="s">
        <v>1095</v>
      </c>
      <c r="C590" t="s">
        <v>1099</v>
      </c>
      <c r="D590" t="s">
        <v>1340</v>
      </c>
      <c r="H590" s="441" t="s">
        <v>1341</v>
      </c>
      <c r="I590" s="441" t="s">
        <v>1342</v>
      </c>
      <c r="J590" s="441" t="b">
        <f t="shared" si="11"/>
        <v>0</v>
      </c>
    </row>
    <row r="591" spans="1:10" hidden="1" x14ac:dyDescent="0.25">
      <c r="A591" s="441" t="str">
        <f t="shared" si="14"/>
        <v>Residential_Building Shell_Attic Kneewall Insulation #2 (Electric Heat)_R_old</v>
      </c>
      <c r="B591" t="s">
        <v>1095</v>
      </c>
      <c r="C591" t="s">
        <v>1099</v>
      </c>
      <c r="D591" t="s">
        <v>1349</v>
      </c>
      <c r="E591" s="442" t="s">
        <v>1328</v>
      </c>
      <c r="F591" s="453">
        <f>[18]Dashboard_FS!$O$18</f>
        <v>0</v>
      </c>
      <c r="G591" s="441" t="s">
        <v>1116</v>
      </c>
      <c r="H591" s="441" t="s">
        <v>1341</v>
      </c>
      <c r="I591" s="441" t="s">
        <v>1342</v>
      </c>
      <c r="J591" s="441" t="b">
        <f t="shared" si="11"/>
        <v>1</v>
      </c>
    </row>
    <row r="592" spans="1:10" hidden="1" x14ac:dyDescent="0.25">
      <c r="A592" s="441" t="str">
        <f t="shared" si="14"/>
        <v>Residential_Building Shell_Attic Kneewall Insulation #2 (Electric Heat)_R_wall</v>
      </c>
      <c r="B592" t="s">
        <v>1095</v>
      </c>
      <c r="C592" t="s">
        <v>1099</v>
      </c>
      <c r="D592" t="s">
        <v>1349</v>
      </c>
      <c r="E592" s="442" t="s">
        <v>1343</v>
      </c>
      <c r="F592" s="453">
        <f>[18]Dashboard_FS!$P$18</f>
        <v>0</v>
      </c>
      <c r="G592" s="441" t="s">
        <v>1116</v>
      </c>
      <c r="H592" s="441" t="s">
        <v>1341</v>
      </c>
      <c r="I592" s="441" t="s">
        <v>1342</v>
      </c>
      <c r="J592" s="441" t="b">
        <f t="shared" si="11"/>
        <v>1</v>
      </c>
    </row>
    <row r="593" spans="1:10" hidden="1" x14ac:dyDescent="0.25">
      <c r="A593" s="441" t="str">
        <f t="shared" si="14"/>
        <v>Residential_Building Shell_Attic Kneewall Insulation #2 (Electric Heat)_A_wall</v>
      </c>
      <c r="B593" t="s">
        <v>1095</v>
      </c>
      <c r="C593" t="s">
        <v>1099</v>
      </c>
      <c r="D593" t="s">
        <v>1349</v>
      </c>
      <c r="E593" s="442" t="s">
        <v>1344</v>
      </c>
      <c r="F593" s="453">
        <f>[18]Dashboard_FS!$O$7</f>
        <v>0</v>
      </c>
      <c r="G593" s="441" t="s">
        <v>1116</v>
      </c>
      <c r="H593" s="441" t="s">
        <v>1341</v>
      </c>
      <c r="I593" s="441" t="s">
        <v>1342</v>
      </c>
      <c r="J593" s="441" t="b">
        <f t="shared" si="11"/>
        <v>1</v>
      </c>
    </row>
    <row r="594" spans="1:10" hidden="1" x14ac:dyDescent="0.25">
      <c r="A594" s="441" t="str">
        <f t="shared" si="14"/>
        <v>Residential_Building Shell_Attic Kneewall Insulation #2 (Electric Heat)_Framing_factor_wall</v>
      </c>
      <c r="B594" t="s">
        <v>1095</v>
      </c>
      <c r="C594" t="s">
        <v>1099</v>
      </c>
      <c r="D594" t="s">
        <v>1349</v>
      </c>
      <c r="E594" s="444" t="s">
        <v>1345</v>
      </c>
      <c r="F594" s="454">
        <v>0.25</v>
      </c>
      <c r="H594" s="441" t="s">
        <v>1341</v>
      </c>
      <c r="I594" s="441" t="s">
        <v>1342</v>
      </c>
      <c r="J594" s="441" t="b">
        <f t="shared" si="11"/>
        <v>0</v>
      </c>
    </row>
    <row r="595" spans="1:10" hidden="1" x14ac:dyDescent="0.25">
      <c r="A595" s="441" t="str">
        <f t="shared" si="14"/>
        <v>Residential_Building Shell_Attic Kneewall Insulation #2 (Electric Heat)_24</v>
      </c>
      <c r="B595" t="s">
        <v>1095</v>
      </c>
      <c r="C595" t="s">
        <v>1099</v>
      </c>
      <c r="D595" t="s">
        <v>1349</v>
      </c>
      <c r="E595" s="444">
        <v>24</v>
      </c>
      <c r="F595" s="454">
        <v>24</v>
      </c>
      <c r="H595" s="441" t="s">
        <v>1341</v>
      </c>
      <c r="I595" s="441" t="s">
        <v>1342</v>
      </c>
      <c r="J595" s="441" t="b">
        <f t="shared" si="11"/>
        <v>0</v>
      </c>
    </row>
    <row r="596" spans="1:10" hidden="1" x14ac:dyDescent="0.25">
      <c r="A596" s="441" t="str">
        <f t="shared" si="14"/>
        <v>Residential_Building Shell_Attic Kneewall Insulation #2 (Electric Heat)_CDD</v>
      </c>
      <c r="B596" t="s">
        <v>1095</v>
      </c>
      <c r="C596" t="s">
        <v>1099</v>
      </c>
      <c r="D596" t="s">
        <v>1349</v>
      </c>
      <c r="E596" s="444" t="s">
        <v>1296</v>
      </c>
      <c r="F596" s="464">
        <f>INDEX('[18]CZ Inputs'!G:G,MATCH(A596&amp;"_"&amp;[18]Dashboard_EE!$K$3,'[18]CZ Inputs'!A:A,0))</f>
        <v>1183</v>
      </c>
      <c r="G596" s="441" t="s">
        <v>1297</v>
      </c>
      <c r="H596" s="441" t="s">
        <v>1341</v>
      </c>
      <c r="I596" s="441" t="s">
        <v>1342</v>
      </c>
      <c r="J596" s="441" t="b">
        <f t="shared" si="11"/>
        <v>1</v>
      </c>
    </row>
    <row r="597" spans="1:10" hidden="1" x14ac:dyDescent="0.25">
      <c r="A597" s="441" t="str">
        <f t="shared" si="14"/>
        <v>Residential_Building Shell_Attic Kneewall Insulation #2 (Electric Heat)_DUA</v>
      </c>
      <c r="B597" t="s">
        <v>1095</v>
      </c>
      <c r="C597" t="s">
        <v>1099</v>
      </c>
      <c r="D597" t="s">
        <v>1349</v>
      </c>
      <c r="E597" s="444" t="s">
        <v>1298</v>
      </c>
      <c r="F597" s="454">
        <v>0.75</v>
      </c>
      <c r="H597" s="441" t="s">
        <v>1341</v>
      </c>
      <c r="I597" s="441" t="s">
        <v>1342</v>
      </c>
      <c r="J597" s="441" t="b">
        <f t="shared" si="11"/>
        <v>0</v>
      </c>
    </row>
    <row r="598" spans="1:10" hidden="1" x14ac:dyDescent="0.25">
      <c r="A598" s="441" t="str">
        <f t="shared" si="14"/>
        <v>Residential_Building Shell_Attic Kneewall Insulation #2 (Electric Heat)_1000</v>
      </c>
      <c r="B598" t="s">
        <v>1095</v>
      </c>
      <c r="C598" t="s">
        <v>1099</v>
      </c>
      <c r="D598" t="s">
        <v>1349</v>
      </c>
      <c r="E598" s="444">
        <v>1000</v>
      </c>
      <c r="F598" s="454">
        <v>1000</v>
      </c>
      <c r="H598" s="441" t="s">
        <v>1341</v>
      </c>
      <c r="I598" s="441" t="s">
        <v>1342</v>
      </c>
      <c r="J598" s="441" t="b">
        <f t="shared" si="11"/>
        <v>0</v>
      </c>
    </row>
    <row r="599" spans="1:10" hidden="1" x14ac:dyDescent="0.25">
      <c r="A599" s="441" t="str">
        <f t="shared" si="14"/>
        <v>Residential_Building Shell_Attic Kneewall Insulation #2 (Electric Heat)_ηCool</v>
      </c>
      <c r="B599" t="s">
        <v>1095</v>
      </c>
      <c r="C599" t="s">
        <v>1099</v>
      </c>
      <c r="D599" t="s">
        <v>1349</v>
      </c>
      <c r="E599" s="442" t="s">
        <v>1299</v>
      </c>
      <c r="F599" s="453">
        <f>[18]Dashboard_FS!$K$14</f>
        <v>0</v>
      </c>
      <c r="G599" s="441" t="s">
        <v>1116</v>
      </c>
      <c r="H599" s="441" t="s">
        <v>1341</v>
      </c>
      <c r="I599" s="441" t="s">
        <v>1342</v>
      </c>
      <c r="J599" s="441" t="b">
        <f t="shared" si="11"/>
        <v>1</v>
      </c>
    </row>
    <row r="600" spans="1:10" hidden="1" x14ac:dyDescent="0.25">
      <c r="A600" s="441" t="str">
        <f t="shared" si="14"/>
        <v>Residential_Building Shell_Attic Kneewall Insulation #2 (Electric Heat)_ηCool_Mid-Life_Adj</v>
      </c>
      <c r="B600" t="s">
        <v>1095</v>
      </c>
      <c r="C600" t="s">
        <v>1099</v>
      </c>
      <c r="D600" t="s">
        <v>1349</v>
      </c>
      <c r="E600" s="442" t="s">
        <v>1300</v>
      </c>
      <c r="F600" s="453">
        <f>[18]Dashboard_FS!$K$14</f>
        <v>0</v>
      </c>
      <c r="G600" s="441" t="s">
        <v>1116</v>
      </c>
      <c r="H600" s="441" t="s">
        <v>1341</v>
      </c>
      <c r="I600" s="441" t="s">
        <v>1342</v>
      </c>
      <c r="J600" s="441" t="b">
        <f t="shared" si="11"/>
        <v>1</v>
      </c>
    </row>
    <row r="601" spans="1:10" hidden="1" x14ac:dyDescent="0.25">
      <c r="A601" s="441" t="str">
        <f t="shared" si="14"/>
        <v>Residential_Building Shell_Attic Kneewall Insulation #2 (Electric Heat)_ADJWallCool</v>
      </c>
      <c r="B601" t="s">
        <v>1095</v>
      </c>
      <c r="C601" t="s">
        <v>1099</v>
      </c>
      <c r="D601" t="s">
        <v>1349</v>
      </c>
      <c r="E601" s="444" t="s">
        <v>1346</v>
      </c>
      <c r="F601" s="464">
        <v>0.75</v>
      </c>
      <c r="H601" s="441" t="s">
        <v>1341</v>
      </c>
      <c r="I601" s="441" t="s">
        <v>1342</v>
      </c>
      <c r="J601" s="441" t="b">
        <f t="shared" si="11"/>
        <v>0</v>
      </c>
    </row>
    <row r="602" spans="1:10" hidden="1" x14ac:dyDescent="0.25">
      <c r="A602" s="441" t="str">
        <f t="shared" si="14"/>
        <v>Residential_Building Shell_Attic Kneewall Insulation #2 (Electric Heat)_%Cool</v>
      </c>
      <c r="B602" t="s">
        <v>1095</v>
      </c>
      <c r="C602" t="s">
        <v>1099</v>
      </c>
      <c r="D602" t="s">
        <v>1349</v>
      </c>
      <c r="E602" s="444" t="s">
        <v>1272</v>
      </c>
      <c r="F602" s="454">
        <v>1</v>
      </c>
      <c r="H602" s="441" t="s">
        <v>1341</v>
      </c>
      <c r="I602" s="441" t="s">
        <v>1342</v>
      </c>
      <c r="J602" s="441" t="b">
        <f t="shared" si="11"/>
        <v>0</v>
      </c>
    </row>
    <row r="603" spans="1:10" hidden="1" x14ac:dyDescent="0.25">
      <c r="A603" s="441" t="str">
        <f t="shared" si="14"/>
        <v>Residential_Building Shell_Attic Kneewall Insulation #2 (Electric Heat)_Delta_kWh_cooling</v>
      </c>
      <c r="B603" t="s">
        <v>1095</v>
      </c>
      <c r="C603" t="s">
        <v>1099</v>
      </c>
      <c r="D603" t="s">
        <v>1349</v>
      </c>
      <c r="E603" s="442" t="s">
        <v>1305</v>
      </c>
      <c r="F603" s="453" t="e">
        <f xml:space="preserve"> ((((1/ F591 - 1/ F592) * F593 * (1 - F594)) * F595 * F596 * F597) / (F598 * F599)) * F601 * F602</f>
        <v>#DIV/0!</v>
      </c>
      <c r="H603" s="441" t="s">
        <v>1341</v>
      </c>
      <c r="I603" s="441" t="s">
        <v>1342</v>
      </c>
      <c r="J603" s="441" t="b">
        <f t="shared" si="11"/>
        <v>1</v>
      </c>
    </row>
    <row r="604" spans="1:10" hidden="1" x14ac:dyDescent="0.25">
      <c r="A604" s="441" t="str">
        <f t="shared" si="14"/>
        <v>Residential_Building Shell_Attic Kneewall Insulation #2 (Electric Heat)_Delta_kWh_cooling_Mid-Life_Adj</v>
      </c>
      <c r="B604" t="s">
        <v>1095</v>
      </c>
      <c r="C604" t="s">
        <v>1099</v>
      </c>
      <c r="D604" t="s">
        <v>1349</v>
      </c>
      <c r="E604" s="442" t="s">
        <v>1306</v>
      </c>
      <c r="F604" s="453" t="e">
        <f xml:space="preserve"> ((((1/ F591 - 1/ F592) * F593 * (1 - F594)) * F595 * F596 * F597) / (F598 * F600)) * F601 * F602</f>
        <v>#DIV/0!</v>
      </c>
      <c r="H604" s="441" t="s">
        <v>1341</v>
      </c>
      <c r="I604" s="441" t="s">
        <v>1342</v>
      </c>
      <c r="J604" s="441" t="b">
        <f t="shared" si="11"/>
        <v>1</v>
      </c>
    </row>
    <row r="605" spans="1:10" hidden="1" x14ac:dyDescent="0.25">
      <c r="A605" s="441" t="str">
        <f t="shared" si="14"/>
        <v>Residential_Building Shell_Attic Kneewall Insulation #2 (Electric Heat)_R_old</v>
      </c>
      <c r="B605" t="s">
        <v>1095</v>
      </c>
      <c r="C605" t="s">
        <v>1099</v>
      </c>
      <c r="D605" t="s">
        <v>1349</v>
      </c>
      <c r="E605" s="442" t="s">
        <v>1328</v>
      </c>
      <c r="F605" s="453">
        <f>[18]Dashboard_FS!$O$18</f>
        <v>0</v>
      </c>
      <c r="G605" s="441" t="s">
        <v>1116</v>
      </c>
      <c r="H605" s="441" t="s">
        <v>1341</v>
      </c>
      <c r="I605" s="441" t="s">
        <v>1342</v>
      </c>
      <c r="J605" s="441" t="b">
        <f t="shared" si="11"/>
        <v>1</v>
      </c>
    </row>
    <row r="606" spans="1:10" hidden="1" x14ac:dyDescent="0.25">
      <c r="A606" s="441" t="str">
        <f t="shared" si="14"/>
        <v>Residential_Building Shell_Attic Kneewall Insulation #2 (Electric Heat)_R_wall</v>
      </c>
      <c r="B606" t="s">
        <v>1095</v>
      </c>
      <c r="C606" t="s">
        <v>1099</v>
      </c>
      <c r="D606" t="s">
        <v>1349</v>
      </c>
      <c r="E606" s="442" t="s">
        <v>1343</v>
      </c>
      <c r="F606" s="453">
        <f>[18]Dashboard_FS!$P$18</f>
        <v>0</v>
      </c>
      <c r="G606" s="441" t="s">
        <v>1116</v>
      </c>
      <c r="H606" s="441" t="s">
        <v>1341</v>
      </c>
      <c r="I606" s="441" t="s">
        <v>1342</v>
      </c>
      <c r="J606" s="441" t="b">
        <f t="shared" si="11"/>
        <v>1</v>
      </c>
    </row>
    <row r="607" spans="1:10" hidden="1" x14ac:dyDescent="0.25">
      <c r="A607" s="441" t="str">
        <f t="shared" si="14"/>
        <v>Residential_Building Shell_Attic Kneewall Insulation #2 (Electric Heat)_A_wall</v>
      </c>
      <c r="B607" t="s">
        <v>1095</v>
      </c>
      <c r="C607" t="s">
        <v>1099</v>
      </c>
      <c r="D607" t="s">
        <v>1349</v>
      </c>
      <c r="E607" s="442" t="s">
        <v>1344</v>
      </c>
      <c r="F607" s="453">
        <f>[18]Dashboard_FS!$O$7</f>
        <v>0</v>
      </c>
      <c r="G607" s="441" t="s">
        <v>1116</v>
      </c>
      <c r="H607" s="441" t="s">
        <v>1341</v>
      </c>
      <c r="I607" s="441" t="s">
        <v>1342</v>
      </c>
      <c r="J607" s="441" t="b">
        <f t="shared" si="11"/>
        <v>1</v>
      </c>
    </row>
    <row r="608" spans="1:10" hidden="1" x14ac:dyDescent="0.25">
      <c r="A608" s="441" t="str">
        <f t="shared" si="14"/>
        <v>Residential_Building Shell_Attic Kneewall Insulation #2 (Electric Heat)_Framing_factor_wall</v>
      </c>
      <c r="B608" t="s">
        <v>1095</v>
      </c>
      <c r="C608" t="s">
        <v>1099</v>
      </c>
      <c r="D608" t="s">
        <v>1349</v>
      </c>
      <c r="E608" s="444" t="s">
        <v>1345</v>
      </c>
      <c r="F608" s="454">
        <v>0.25</v>
      </c>
      <c r="H608" s="441" t="s">
        <v>1341</v>
      </c>
      <c r="I608" s="441" t="s">
        <v>1342</v>
      </c>
      <c r="J608" s="441" t="b">
        <f t="shared" si="11"/>
        <v>0</v>
      </c>
    </row>
    <row r="609" spans="1:10" hidden="1" x14ac:dyDescent="0.25">
      <c r="A609" s="441" t="str">
        <f t="shared" si="14"/>
        <v>Residential_Building Shell_Attic Kneewall Insulation #2 (Electric Heat)_24</v>
      </c>
      <c r="B609" t="s">
        <v>1095</v>
      </c>
      <c r="C609" t="s">
        <v>1099</v>
      </c>
      <c r="D609" t="s">
        <v>1349</v>
      </c>
      <c r="E609" s="444">
        <v>24</v>
      </c>
      <c r="F609" s="454">
        <v>24</v>
      </c>
      <c r="H609" s="441" t="s">
        <v>1341</v>
      </c>
      <c r="I609" s="441" t="s">
        <v>1342</v>
      </c>
      <c r="J609" s="441" t="b">
        <f t="shared" si="11"/>
        <v>0</v>
      </c>
    </row>
    <row r="610" spans="1:10" hidden="1" x14ac:dyDescent="0.25">
      <c r="A610" s="441" t="str">
        <f t="shared" si="14"/>
        <v>Residential_Building Shell_Attic Kneewall Insulation #2 (Electric Heat)_HDD</v>
      </c>
      <c r="B610" t="s">
        <v>1095</v>
      </c>
      <c r="C610" t="s">
        <v>1099</v>
      </c>
      <c r="D610" t="s">
        <v>1349</v>
      </c>
      <c r="E610" s="444" t="s">
        <v>1308</v>
      </c>
      <c r="F610" s="464">
        <f>INDEX('[18]CZ Inputs'!G:G,MATCH(A610&amp;"_"&amp;[18]Dashboard_EE!$K$3,'[18]CZ Inputs'!A:A,0))</f>
        <v>4266</v>
      </c>
      <c r="G610" s="441" t="s">
        <v>1297</v>
      </c>
      <c r="H610" s="441" t="s">
        <v>1341</v>
      </c>
      <c r="I610" s="441" t="s">
        <v>1342</v>
      </c>
      <c r="J610" s="441" t="b">
        <f t="shared" si="11"/>
        <v>1</v>
      </c>
    </row>
    <row r="611" spans="1:10" hidden="1" x14ac:dyDescent="0.25">
      <c r="A611" s="441" t="str">
        <f t="shared" si="14"/>
        <v>Residential_Building Shell_Attic Kneewall Insulation #2 (Electric Heat)_ηHeat</v>
      </c>
      <c r="B611" t="s">
        <v>1095</v>
      </c>
      <c r="C611" t="s">
        <v>1099</v>
      </c>
      <c r="D611" t="s">
        <v>1349</v>
      </c>
      <c r="E611" s="442" t="s">
        <v>1309</v>
      </c>
      <c r="F611" s="453">
        <f>[18]Dashboard_FS!$K$6</f>
        <v>0</v>
      </c>
      <c r="G611" s="441" t="s">
        <v>1116</v>
      </c>
      <c r="H611" s="441" t="s">
        <v>1341</v>
      </c>
      <c r="I611" s="441" t="s">
        <v>1342</v>
      </c>
      <c r="J611" s="441" t="b">
        <f t="shared" si="11"/>
        <v>1</v>
      </c>
    </row>
    <row r="612" spans="1:10" hidden="1" x14ac:dyDescent="0.25">
      <c r="A612" s="441" t="str">
        <f t="shared" si="14"/>
        <v>Residential_Building Shell_Attic Kneewall Insulation #2 (Electric Heat)_ηHeat_Mid-Life_Adj</v>
      </c>
      <c r="B612" t="s">
        <v>1095</v>
      </c>
      <c r="C612" t="s">
        <v>1099</v>
      </c>
      <c r="D612" t="s">
        <v>1349</v>
      </c>
      <c r="E612" s="442" t="s">
        <v>1310</v>
      </c>
      <c r="F612" s="453">
        <f>[18]Dashboard_FS!$K$6</f>
        <v>0</v>
      </c>
      <c r="G612" s="441" t="s">
        <v>1116</v>
      </c>
      <c r="H612" s="441" t="s">
        <v>1341</v>
      </c>
      <c r="I612" s="441" t="s">
        <v>1342</v>
      </c>
      <c r="J612" s="441" t="b">
        <f t="shared" si="11"/>
        <v>1</v>
      </c>
    </row>
    <row r="613" spans="1:10" hidden="1" x14ac:dyDescent="0.25">
      <c r="A613" s="441" t="str">
        <f t="shared" si="14"/>
        <v>Residential_Building Shell_Attic Kneewall Insulation #2 (Electric Heat)_3412</v>
      </c>
      <c r="B613" t="s">
        <v>1095</v>
      </c>
      <c r="C613" t="s">
        <v>1099</v>
      </c>
      <c r="D613" t="s">
        <v>1349</v>
      </c>
      <c r="E613" s="444">
        <v>3412</v>
      </c>
      <c r="F613" s="454">
        <v>3412</v>
      </c>
      <c r="H613" s="441" t="s">
        <v>1341</v>
      </c>
      <c r="I613" s="441" t="s">
        <v>1342</v>
      </c>
      <c r="J613" s="441" t="b">
        <f t="shared" si="11"/>
        <v>0</v>
      </c>
    </row>
    <row r="614" spans="1:10" hidden="1" x14ac:dyDescent="0.25">
      <c r="A614" s="441" t="str">
        <f t="shared" si="14"/>
        <v>Residential_Building Shell_Attic Kneewall Insulation #2 (Electric Heat)_ADJWallHeat</v>
      </c>
      <c r="B614" t="s">
        <v>1095</v>
      </c>
      <c r="C614" t="s">
        <v>1099</v>
      </c>
      <c r="D614" t="s">
        <v>1349</v>
      </c>
      <c r="E614" s="444" t="s">
        <v>1347</v>
      </c>
      <c r="F614" s="464">
        <v>0.63</v>
      </c>
      <c r="H614" s="441" t="s">
        <v>1341</v>
      </c>
      <c r="I614" s="441" t="s">
        <v>1342</v>
      </c>
      <c r="J614" s="441" t="b">
        <f t="shared" si="11"/>
        <v>0</v>
      </c>
    </row>
    <row r="615" spans="1:10" hidden="1" x14ac:dyDescent="0.25">
      <c r="A615" s="441" t="str">
        <f t="shared" si="14"/>
        <v>Residential_Building Shell_Attic Kneewall Insulation #2 (Electric Heat)_%ElectricHeat</v>
      </c>
      <c r="B615" t="s">
        <v>1095</v>
      </c>
      <c r="C615" t="s">
        <v>1099</v>
      </c>
      <c r="D615" t="s">
        <v>1349</v>
      </c>
      <c r="E615" s="444" t="s">
        <v>1277</v>
      </c>
      <c r="F615" s="454">
        <v>1</v>
      </c>
      <c r="G615" s="441" t="s">
        <v>1311</v>
      </c>
      <c r="H615" s="441" t="s">
        <v>1341</v>
      </c>
      <c r="I615" s="441" t="s">
        <v>1342</v>
      </c>
      <c r="J615" s="441" t="b">
        <f t="shared" si="11"/>
        <v>0</v>
      </c>
    </row>
    <row r="616" spans="1:10" hidden="1" x14ac:dyDescent="0.25">
      <c r="A616" s="441" t="str">
        <f t="shared" si="14"/>
        <v>Residential_Building Shell_Attic Kneewall Insulation #2 (Electric Heat)_Delta_kWh_heatingElectric</v>
      </c>
      <c r="B616" t="s">
        <v>1095</v>
      </c>
      <c r="C616" t="s">
        <v>1099</v>
      </c>
      <c r="D616" t="s">
        <v>1349</v>
      </c>
      <c r="E616" s="442" t="s">
        <v>1312</v>
      </c>
      <c r="F616" s="453" t="e">
        <f xml:space="preserve"> (((1/ F605 - 1/ F606) * F607 * (1 - F608) * F609 * F610) / (F611 * F613)) * F614 * F615</f>
        <v>#DIV/0!</v>
      </c>
      <c r="H616" s="441" t="s">
        <v>1341</v>
      </c>
      <c r="I616" s="441" t="s">
        <v>1342</v>
      </c>
      <c r="J616" s="441" t="b">
        <f t="shared" si="11"/>
        <v>1</v>
      </c>
    </row>
    <row r="617" spans="1:10" hidden="1" x14ac:dyDescent="0.25">
      <c r="A617" s="441" t="str">
        <f t="shared" si="14"/>
        <v>Residential_Building Shell_Attic Kneewall Insulation #2 (Electric Heat)_Delta_kWh_heatingElectric_Mid-Life_Adj</v>
      </c>
      <c r="B617" t="s">
        <v>1095</v>
      </c>
      <c r="C617" t="s">
        <v>1099</v>
      </c>
      <c r="D617" t="s">
        <v>1349</v>
      </c>
      <c r="E617" s="442" t="s">
        <v>1313</v>
      </c>
      <c r="F617" s="453" t="e">
        <f xml:space="preserve"> (((1/ F605 - 1/ F606) * F607 * (1 - F608) * F609 * F610) / (F612 * F613)) * F614 * F615</f>
        <v>#DIV/0!</v>
      </c>
      <c r="H617" s="441" t="s">
        <v>1341</v>
      </c>
      <c r="I617" s="441" t="s">
        <v>1342</v>
      </c>
      <c r="J617" s="441" t="b">
        <f t="shared" si="11"/>
        <v>1</v>
      </c>
    </row>
    <row r="618" spans="1:10" hidden="1" x14ac:dyDescent="0.25">
      <c r="A618" s="441" t="str">
        <f t="shared" si="14"/>
        <v>Residential_Building Shell_Attic Kneewall Insulation #2 (Electric Heat)_Delta_Therms</v>
      </c>
      <c r="B618" t="s">
        <v>1095</v>
      </c>
      <c r="C618" t="s">
        <v>1099</v>
      </c>
      <c r="D618" t="s">
        <v>1349</v>
      </c>
      <c r="E618" s="442" t="s">
        <v>1229</v>
      </c>
      <c r="F618" s="453" t="e">
        <f>F639</f>
        <v>#DIV/0!</v>
      </c>
      <c r="H618" s="441" t="s">
        <v>1341</v>
      </c>
      <c r="I618" s="441" t="s">
        <v>1342</v>
      </c>
      <c r="J618" s="441" t="b">
        <f t="shared" si="11"/>
        <v>1</v>
      </c>
    </row>
    <row r="619" spans="1:10" hidden="1" x14ac:dyDescent="0.25">
      <c r="A619" s="441" t="str">
        <f t="shared" si="14"/>
        <v>Residential_Building Shell_Attic Kneewall Insulation #2 (Electric Heat)_Delta_Therms_Mid-Life_Adj</v>
      </c>
      <c r="B619" t="s">
        <v>1095</v>
      </c>
      <c r="C619" t="s">
        <v>1099</v>
      </c>
      <c r="D619" t="s">
        <v>1349</v>
      </c>
      <c r="E619" s="442" t="s">
        <v>1348</v>
      </c>
      <c r="F619" s="453" t="e">
        <f>F640</f>
        <v>#DIV/0!</v>
      </c>
      <c r="H619" s="441" t="s">
        <v>1341</v>
      </c>
      <c r="I619" s="441" t="s">
        <v>1342</v>
      </c>
      <c r="J619" s="441" t="b">
        <f t="shared" si="11"/>
        <v>1</v>
      </c>
    </row>
    <row r="620" spans="1:10" hidden="1" x14ac:dyDescent="0.25">
      <c r="A620" s="441" t="str">
        <f t="shared" si="14"/>
        <v>Residential_Building Shell_Attic Kneewall Insulation #2 (Electric Heat)_Fe</v>
      </c>
      <c r="B620" t="s">
        <v>1095</v>
      </c>
      <c r="C620" t="s">
        <v>1099</v>
      </c>
      <c r="D620" t="s">
        <v>1349</v>
      </c>
      <c r="E620" s="444" t="s">
        <v>1127</v>
      </c>
      <c r="F620" s="454">
        <v>3.1399999999999997E-2</v>
      </c>
      <c r="H620" s="441" t="s">
        <v>1341</v>
      </c>
      <c r="I620" s="441" t="s">
        <v>1342</v>
      </c>
      <c r="J620" s="441" t="b">
        <f t="shared" si="11"/>
        <v>0</v>
      </c>
    </row>
    <row r="621" spans="1:10" hidden="1" x14ac:dyDescent="0.25">
      <c r="A621" s="441" t="str">
        <f t="shared" si="14"/>
        <v>Residential_Building Shell_Attic Kneewall Insulation #2 (Electric Heat)_29.3</v>
      </c>
      <c r="B621" t="s">
        <v>1095</v>
      </c>
      <c r="C621" t="s">
        <v>1099</v>
      </c>
      <c r="D621" t="s">
        <v>1349</v>
      </c>
      <c r="E621" s="444">
        <v>29.3</v>
      </c>
      <c r="F621" s="454">
        <v>29.3</v>
      </c>
      <c r="H621" s="441" t="s">
        <v>1341</v>
      </c>
      <c r="I621" s="441" t="s">
        <v>1342</v>
      </c>
      <c r="J621" s="441" t="b">
        <f t="shared" si="11"/>
        <v>0</v>
      </c>
    </row>
    <row r="622" spans="1:10" hidden="1" x14ac:dyDescent="0.25">
      <c r="A622" s="441" t="str">
        <f t="shared" si="14"/>
        <v>Residential_Building Shell_Attic Kneewall Insulation #2 (Electric Heat)_Delta_kWh_heatingGas</v>
      </c>
      <c r="B622" t="s">
        <v>1095</v>
      </c>
      <c r="C622" t="s">
        <v>1099</v>
      </c>
      <c r="D622" t="s">
        <v>1349</v>
      </c>
      <c r="E622" s="442" t="s">
        <v>1315</v>
      </c>
      <c r="F622" s="453" t="e">
        <f>F618*F620*F621</f>
        <v>#DIV/0!</v>
      </c>
      <c r="H622" s="441" t="s">
        <v>1341</v>
      </c>
      <c r="I622" s="441" t="s">
        <v>1342</v>
      </c>
      <c r="J622" s="441" t="b">
        <f t="shared" si="11"/>
        <v>1</v>
      </c>
    </row>
    <row r="623" spans="1:10" hidden="1" x14ac:dyDescent="0.25">
      <c r="A623" s="441" t="str">
        <f t="shared" si="14"/>
        <v>Residential_Building Shell_Attic Kneewall Insulation #2 (Electric Heat)_Delta_kWh_heatingGas_Mid-Life_Adj</v>
      </c>
      <c r="B623" t="s">
        <v>1095</v>
      </c>
      <c r="C623" t="s">
        <v>1099</v>
      </c>
      <c r="D623" t="s">
        <v>1349</v>
      </c>
      <c r="E623" s="442" t="s">
        <v>1316</v>
      </c>
      <c r="F623" s="453" t="e">
        <f>F619*F620*F621</f>
        <v>#DIV/0!</v>
      </c>
      <c r="H623" s="441" t="s">
        <v>1341</v>
      </c>
      <c r="I623" s="441" t="s">
        <v>1342</v>
      </c>
      <c r="J623" s="441" t="b">
        <f t="shared" si="11"/>
        <v>1</v>
      </c>
    </row>
    <row r="624" spans="1:10" hidden="1" x14ac:dyDescent="0.25">
      <c r="A624" s="441" t="str">
        <f t="shared" si="14"/>
        <v>Residential_Building Shell_Attic Kneewall Insulation #2 (Electric Heat)_FLH_cooling</v>
      </c>
      <c r="B624" t="s">
        <v>1095</v>
      </c>
      <c r="C624" t="s">
        <v>1099</v>
      </c>
      <c r="D624" t="s">
        <v>1349</v>
      </c>
      <c r="E624" s="444" t="s">
        <v>1317</v>
      </c>
      <c r="F624" s="464">
        <f>INDEX('[18]CZ Inputs'!G:G,MATCH(A624&amp;"_"&amp;[18]Dashboard_EE!$K$3,'[18]CZ Inputs'!A:A,0))</f>
        <v>779</v>
      </c>
      <c r="G624" s="441" t="s">
        <v>1297</v>
      </c>
      <c r="H624" s="441" t="s">
        <v>1341</v>
      </c>
      <c r="I624" s="441" t="s">
        <v>1342</v>
      </c>
      <c r="J624" s="441" t="b">
        <f t="shared" si="11"/>
        <v>1</v>
      </c>
    </row>
    <row r="625" spans="1:10" hidden="1" x14ac:dyDescent="0.25">
      <c r="A625" s="441" t="str">
        <f t="shared" si="14"/>
        <v>Residential_Building Shell_Attic Kneewall Insulation #2 (Electric Heat)_CF</v>
      </c>
      <c r="B625" t="s">
        <v>1095</v>
      </c>
      <c r="C625" t="s">
        <v>1099</v>
      </c>
      <c r="D625" t="s">
        <v>1349</v>
      </c>
      <c r="E625" s="444" t="s">
        <v>1153</v>
      </c>
      <c r="F625" s="454">
        <v>0.68</v>
      </c>
      <c r="G625" s="441" t="s">
        <v>1195</v>
      </c>
      <c r="H625" s="441" t="s">
        <v>1341</v>
      </c>
      <c r="I625" s="441" t="s">
        <v>1342</v>
      </c>
      <c r="J625" s="441" t="b">
        <f t="shared" si="11"/>
        <v>0</v>
      </c>
    </row>
    <row r="626" spans="1:10" hidden="1" x14ac:dyDescent="0.25">
      <c r="A626" s="441" t="str">
        <f t="shared" si="14"/>
        <v>Residential_Building Shell_Attic Kneewall Insulation #2 (Electric Heat)_Delta_kW</v>
      </c>
      <c r="B626" t="s">
        <v>1095</v>
      </c>
      <c r="C626" t="s">
        <v>1099</v>
      </c>
      <c r="D626" t="s">
        <v>1349</v>
      </c>
      <c r="E626" s="442" t="s">
        <v>1155</v>
      </c>
      <c r="F626" s="453" t="e">
        <f>(F603/F624)*F625</f>
        <v>#DIV/0!</v>
      </c>
      <c r="H626" s="441" t="s">
        <v>1341</v>
      </c>
      <c r="I626" s="441" t="s">
        <v>1342</v>
      </c>
      <c r="J626" s="441" t="b">
        <f t="shared" si="11"/>
        <v>1</v>
      </c>
    </row>
    <row r="627" spans="1:10" hidden="1" x14ac:dyDescent="0.25">
      <c r="A627" s="441" t="str">
        <f t="shared" si="14"/>
        <v>Residential_Building Shell_Attic Kneewall Insulation #2 (Electric Heat)_Delta_kW_Mid-Life_Adj</v>
      </c>
      <c r="B627" t="s">
        <v>1095</v>
      </c>
      <c r="C627" t="s">
        <v>1099</v>
      </c>
      <c r="D627" t="s">
        <v>1349</v>
      </c>
      <c r="E627" s="442" t="s">
        <v>1318</v>
      </c>
      <c r="F627" s="453" t="e">
        <f>(F604/F624)*F625</f>
        <v>#DIV/0!</v>
      </c>
      <c r="H627" s="441" t="s">
        <v>1341</v>
      </c>
      <c r="I627" s="441" t="s">
        <v>1342</v>
      </c>
      <c r="J627" s="441" t="b">
        <f t="shared" si="11"/>
        <v>1</v>
      </c>
    </row>
    <row r="628" spans="1:10" hidden="1" x14ac:dyDescent="0.25">
      <c r="A628" s="441" t="str">
        <f t="shared" si="14"/>
        <v>Residential_Building Shell_Attic Kneewall Insulation #2 (Electric Heat)_R_old</v>
      </c>
      <c r="B628" t="s">
        <v>1095</v>
      </c>
      <c r="C628" t="s">
        <v>1099</v>
      </c>
      <c r="D628" t="s">
        <v>1349</v>
      </c>
      <c r="E628" s="442" t="s">
        <v>1328</v>
      </c>
      <c r="F628" s="453">
        <f>[18]Dashboard_FS!$O$18</f>
        <v>0</v>
      </c>
      <c r="G628" s="441" t="s">
        <v>1116</v>
      </c>
      <c r="H628" s="441" t="s">
        <v>1341</v>
      </c>
      <c r="I628" s="441" t="s">
        <v>1342</v>
      </c>
      <c r="J628" s="441" t="b">
        <f t="shared" si="11"/>
        <v>1</v>
      </c>
    </row>
    <row r="629" spans="1:10" hidden="1" x14ac:dyDescent="0.25">
      <c r="A629" s="441" t="str">
        <f t="shared" si="14"/>
        <v>Residential_Building Shell_Attic Kneewall Insulation #2 (Electric Heat)_R_wall</v>
      </c>
      <c r="B629" t="s">
        <v>1095</v>
      </c>
      <c r="C629" t="s">
        <v>1099</v>
      </c>
      <c r="D629" t="s">
        <v>1349</v>
      </c>
      <c r="E629" s="442" t="s">
        <v>1343</v>
      </c>
      <c r="F629" s="453">
        <f>[18]Dashboard_FS!$P$18</f>
        <v>0</v>
      </c>
      <c r="G629" s="441" t="s">
        <v>1116</v>
      </c>
      <c r="H629" s="441" t="s">
        <v>1341</v>
      </c>
      <c r="I629" s="441" t="s">
        <v>1342</v>
      </c>
      <c r="J629" s="441" t="b">
        <f t="shared" si="11"/>
        <v>1</v>
      </c>
    </row>
    <row r="630" spans="1:10" hidden="1" x14ac:dyDescent="0.25">
      <c r="A630" s="441" t="str">
        <f t="shared" si="14"/>
        <v>Residential_Building Shell_Attic Kneewall Insulation #2 (Electric Heat)_A_wall</v>
      </c>
      <c r="B630" t="s">
        <v>1095</v>
      </c>
      <c r="C630" t="s">
        <v>1099</v>
      </c>
      <c r="D630" t="s">
        <v>1349</v>
      </c>
      <c r="E630" s="442" t="s">
        <v>1344</v>
      </c>
      <c r="F630" s="453">
        <f>[18]Dashboard_FS!$O$7</f>
        <v>0</v>
      </c>
      <c r="G630" s="441" t="s">
        <v>1116</v>
      </c>
      <c r="H630" s="441" t="s">
        <v>1341</v>
      </c>
      <c r="I630" s="441" t="s">
        <v>1342</v>
      </c>
      <c r="J630" s="441" t="b">
        <f t="shared" si="11"/>
        <v>1</v>
      </c>
    </row>
    <row r="631" spans="1:10" hidden="1" x14ac:dyDescent="0.25">
      <c r="A631" s="441" t="str">
        <f t="shared" si="14"/>
        <v>Residential_Building Shell_Attic Kneewall Insulation #2 (Electric Heat)_Framing_factor_wall</v>
      </c>
      <c r="B631" t="s">
        <v>1095</v>
      </c>
      <c r="C631" t="s">
        <v>1099</v>
      </c>
      <c r="D631" t="s">
        <v>1349</v>
      </c>
      <c r="E631" s="444" t="s">
        <v>1345</v>
      </c>
      <c r="F631" s="454">
        <v>0.25</v>
      </c>
      <c r="H631" s="441" t="s">
        <v>1341</v>
      </c>
      <c r="I631" s="441" t="s">
        <v>1342</v>
      </c>
      <c r="J631" s="441" t="b">
        <f t="shared" si="11"/>
        <v>0</v>
      </c>
    </row>
    <row r="632" spans="1:10" hidden="1" x14ac:dyDescent="0.25">
      <c r="A632" s="441" t="str">
        <f t="shared" ref="A632:A695" si="15">B632&amp;"_"&amp;C632&amp;"_"&amp;D632&amp;"_"&amp;E632</f>
        <v>Residential_Building Shell_Attic Kneewall Insulation #2 (Electric Heat)_24</v>
      </c>
      <c r="B632" t="s">
        <v>1095</v>
      </c>
      <c r="C632" t="s">
        <v>1099</v>
      </c>
      <c r="D632" t="s">
        <v>1349</v>
      </c>
      <c r="E632" s="444">
        <v>24</v>
      </c>
      <c r="F632" s="454">
        <v>24</v>
      </c>
      <c r="H632" s="441" t="s">
        <v>1341</v>
      </c>
      <c r="I632" s="441" t="s">
        <v>1342</v>
      </c>
      <c r="J632" s="441" t="b">
        <f t="shared" si="11"/>
        <v>0</v>
      </c>
    </row>
    <row r="633" spans="1:10" hidden="1" x14ac:dyDescent="0.25">
      <c r="A633" s="441" t="str">
        <f t="shared" si="15"/>
        <v>Residential_Building Shell_Attic Kneewall Insulation #2 (Electric Heat)_HDD</v>
      </c>
      <c r="B633" t="s">
        <v>1095</v>
      </c>
      <c r="C633" t="s">
        <v>1099</v>
      </c>
      <c r="D633" t="s">
        <v>1349</v>
      </c>
      <c r="E633" s="444" t="s">
        <v>1308</v>
      </c>
      <c r="F633" s="464">
        <f>INDEX('[18]CZ Inputs'!G:G,MATCH(A633&amp;"_"&amp;[18]Dashboard_EE!$K$3,'[18]CZ Inputs'!A:A,0))</f>
        <v>4266</v>
      </c>
      <c r="G633" s="441" t="s">
        <v>1297</v>
      </c>
      <c r="H633" s="441" t="s">
        <v>1341</v>
      </c>
      <c r="I633" s="441" t="s">
        <v>1342</v>
      </c>
      <c r="J633" s="441" t="b">
        <f t="shared" si="11"/>
        <v>1</v>
      </c>
    </row>
    <row r="634" spans="1:10" hidden="1" x14ac:dyDescent="0.25">
      <c r="A634" s="441" t="str">
        <f t="shared" si="15"/>
        <v>Residential_Building Shell_Attic Kneewall Insulation #2 (Electric Heat)_ηHeat</v>
      </c>
      <c r="B634" t="s">
        <v>1095</v>
      </c>
      <c r="C634" t="s">
        <v>1099</v>
      </c>
      <c r="D634" t="s">
        <v>1349</v>
      </c>
      <c r="E634" s="442" t="s">
        <v>1309</v>
      </c>
      <c r="F634" s="453">
        <f>[18]Dashboard_FS!$K$8</f>
        <v>0</v>
      </c>
      <c r="G634" s="441" t="s">
        <v>1116</v>
      </c>
      <c r="H634" s="441" t="s">
        <v>1341</v>
      </c>
      <c r="I634" s="441" t="s">
        <v>1342</v>
      </c>
      <c r="J634" s="441" t="b">
        <f t="shared" si="11"/>
        <v>1</v>
      </c>
    </row>
    <row r="635" spans="1:10" hidden="1" x14ac:dyDescent="0.25">
      <c r="A635" s="441" t="str">
        <f t="shared" si="15"/>
        <v>Residential_Building Shell_Attic Kneewall Insulation #2 (Electric Heat)_ηHeat_Mid-Life_Adj</v>
      </c>
      <c r="B635" t="s">
        <v>1095</v>
      </c>
      <c r="C635" t="s">
        <v>1099</v>
      </c>
      <c r="D635" t="s">
        <v>1349</v>
      </c>
      <c r="E635" s="442" t="s">
        <v>1310</v>
      </c>
      <c r="F635" s="453">
        <f>[18]Dashboard_FS!$K$8</f>
        <v>0</v>
      </c>
      <c r="G635" s="441" t="s">
        <v>1116</v>
      </c>
      <c r="H635" s="441" t="s">
        <v>1341</v>
      </c>
      <c r="I635" s="441" t="s">
        <v>1342</v>
      </c>
      <c r="J635" s="441" t="b">
        <f t="shared" si="11"/>
        <v>1</v>
      </c>
    </row>
    <row r="636" spans="1:10" hidden="1" x14ac:dyDescent="0.25">
      <c r="A636" s="441" t="str">
        <f t="shared" si="15"/>
        <v>Residential_Building Shell_Attic Kneewall Insulation #2 (Electric Heat)_100000</v>
      </c>
      <c r="B636" t="s">
        <v>1095</v>
      </c>
      <c r="C636" t="s">
        <v>1099</v>
      </c>
      <c r="D636" t="s">
        <v>1349</v>
      </c>
      <c r="E636" s="444">
        <v>100000</v>
      </c>
      <c r="F636" s="454">
        <v>100000</v>
      </c>
      <c r="H636" s="441" t="s">
        <v>1341</v>
      </c>
      <c r="I636" s="441" t="s">
        <v>1342</v>
      </c>
      <c r="J636" s="441" t="b">
        <f t="shared" si="11"/>
        <v>0</v>
      </c>
    </row>
    <row r="637" spans="1:10" hidden="1" x14ac:dyDescent="0.25">
      <c r="A637" s="441" t="str">
        <f t="shared" si="15"/>
        <v>Residential_Building Shell_Attic Kneewall Insulation #2 (Electric Heat)_ADJWallHeat</v>
      </c>
      <c r="B637" t="s">
        <v>1095</v>
      </c>
      <c r="C637" t="s">
        <v>1099</v>
      </c>
      <c r="D637" t="s">
        <v>1349</v>
      </c>
      <c r="E637" s="444" t="s">
        <v>1347</v>
      </c>
      <c r="F637" s="464">
        <v>0.63</v>
      </c>
      <c r="H637" s="441" t="s">
        <v>1341</v>
      </c>
      <c r="I637" s="441" t="s">
        <v>1342</v>
      </c>
      <c r="J637" s="441" t="b">
        <f t="shared" si="11"/>
        <v>0</v>
      </c>
    </row>
    <row r="638" spans="1:10" hidden="1" x14ac:dyDescent="0.25">
      <c r="A638" s="441" t="str">
        <f t="shared" si="15"/>
        <v>Residential_Building Shell_Attic Kneewall Insulation #2 (Electric Heat)_%GasHeat</v>
      </c>
      <c r="B638" t="s">
        <v>1095</v>
      </c>
      <c r="C638" t="s">
        <v>1099</v>
      </c>
      <c r="D638" t="s">
        <v>1349</v>
      </c>
      <c r="E638" s="444" t="s">
        <v>1338</v>
      </c>
      <c r="F638" s="454">
        <v>0</v>
      </c>
      <c r="G638" s="441" t="s">
        <v>1311</v>
      </c>
      <c r="H638" s="441" t="s">
        <v>1341</v>
      </c>
      <c r="I638" s="441" t="s">
        <v>1342</v>
      </c>
      <c r="J638" s="441" t="b">
        <f t="shared" si="11"/>
        <v>0</v>
      </c>
    </row>
    <row r="639" spans="1:10" hidden="1" x14ac:dyDescent="0.25">
      <c r="A639" s="441" t="str">
        <f t="shared" si="15"/>
        <v>Residential_Building Shell_Attic Kneewall Insulation #2 (Electric Heat)_Delta_Therms</v>
      </c>
      <c r="B639" t="s">
        <v>1095</v>
      </c>
      <c r="C639" t="s">
        <v>1099</v>
      </c>
      <c r="D639" t="s">
        <v>1349</v>
      </c>
      <c r="E639" s="442" t="s">
        <v>1229</v>
      </c>
      <c r="F639" s="453" t="e">
        <f xml:space="preserve"> (((1/ F628 - 1/ F629) * F630 * (1 - F631) * F632 * F633) / (F634 * F636)) * F637 * F638</f>
        <v>#DIV/0!</v>
      </c>
      <c r="H639" s="441" t="s">
        <v>1341</v>
      </c>
      <c r="I639" s="441" t="s">
        <v>1342</v>
      </c>
      <c r="J639" s="441" t="b">
        <f t="shared" si="11"/>
        <v>1</v>
      </c>
    </row>
    <row r="640" spans="1:10" hidden="1" x14ac:dyDescent="0.25">
      <c r="A640" s="441" t="str">
        <f t="shared" si="15"/>
        <v>Residential_Building Shell_Attic Kneewall Insulation #2 (Electric Heat)_Delta_Therms_Mid-Life_Adj</v>
      </c>
      <c r="B640" t="s">
        <v>1095</v>
      </c>
      <c r="C640" t="s">
        <v>1099</v>
      </c>
      <c r="D640" t="s">
        <v>1349</v>
      </c>
      <c r="E640" s="442" t="s">
        <v>1348</v>
      </c>
      <c r="F640" s="453" t="e">
        <f xml:space="preserve"> (((1/ F628 - 1/ F629) * F630 * (1 - F631) * F632 * F633) / (F635 * F636)) * F637 * F638</f>
        <v>#DIV/0!</v>
      </c>
      <c r="H640" s="441" t="s">
        <v>1341</v>
      </c>
      <c r="I640" s="441" t="s">
        <v>1342</v>
      </c>
      <c r="J640" s="441" t="b">
        <f t="shared" si="11"/>
        <v>1</v>
      </c>
    </row>
    <row r="641" spans="1:10" hidden="1" x14ac:dyDescent="0.25">
      <c r="A641" s="441" t="str">
        <f t="shared" si="15"/>
        <v>Residential_Building Shell_Attic Kneewall Insulation #2 (Electric Heat)_Remaining Year kWh</v>
      </c>
      <c r="B641" t="s">
        <v>1095</v>
      </c>
      <c r="C641" t="s">
        <v>1099</v>
      </c>
      <c r="D641" t="s">
        <v>1349</v>
      </c>
      <c r="E641" s="450" t="s">
        <v>1322</v>
      </c>
      <c r="F641" s="456" t="e">
        <f>F603+F616+F622</f>
        <v>#DIV/0!</v>
      </c>
      <c r="H641" s="441" t="s">
        <v>1341</v>
      </c>
      <c r="I641" s="441" t="s">
        <v>1342</v>
      </c>
      <c r="J641" s="441" t="b">
        <f t="shared" si="11"/>
        <v>1</v>
      </c>
    </row>
    <row r="642" spans="1:10" hidden="1" x14ac:dyDescent="0.25">
      <c r="A642" s="441" t="str">
        <f t="shared" si="15"/>
        <v>Residential_Building Shell_Attic Kneewall Insulation #2 (Electric Heat)_kWh Saved per Unit</v>
      </c>
      <c r="B642" t="s">
        <v>1095</v>
      </c>
      <c r="C642" t="s">
        <v>1099</v>
      </c>
      <c r="D642" t="s">
        <v>1349</v>
      </c>
      <c r="E642" s="450" t="s">
        <v>1156</v>
      </c>
      <c r="F642" s="456" t="e">
        <f>F604+F617+F623</f>
        <v>#DIV/0!</v>
      </c>
      <c r="H642" s="441" t="s">
        <v>1341</v>
      </c>
      <c r="I642" s="441" t="s">
        <v>1342</v>
      </c>
      <c r="J642" s="441" t="b">
        <f t="shared" si="11"/>
        <v>1</v>
      </c>
    </row>
    <row r="643" spans="1:10" hidden="1" x14ac:dyDescent="0.25">
      <c r="A643" s="441" t="str">
        <f t="shared" si="15"/>
        <v>Residential_Building Shell_Attic Kneewall Insulation #2 (Electric Heat)_Remaining Year kW</v>
      </c>
      <c r="B643" t="s">
        <v>1095</v>
      </c>
      <c r="C643" t="s">
        <v>1099</v>
      </c>
      <c r="D643" t="s">
        <v>1349</v>
      </c>
      <c r="E643" s="450" t="s">
        <v>1323</v>
      </c>
      <c r="F643" s="456" t="e">
        <f>F626</f>
        <v>#DIV/0!</v>
      </c>
      <c r="H643" s="441" t="s">
        <v>1341</v>
      </c>
      <c r="I643" s="441" t="s">
        <v>1342</v>
      </c>
      <c r="J643" s="441" t="b">
        <f t="shared" si="11"/>
        <v>1</v>
      </c>
    </row>
    <row r="644" spans="1:10" hidden="1" x14ac:dyDescent="0.25">
      <c r="A644" s="441" t="str">
        <f t="shared" si="15"/>
        <v>Residential_Building Shell_Attic Kneewall Insulation #2 (Electric Heat)_Coincident Peak kW Saved per Unit</v>
      </c>
      <c r="B644" t="s">
        <v>1095</v>
      </c>
      <c r="C644" t="s">
        <v>1099</v>
      </c>
      <c r="D644" t="s">
        <v>1349</v>
      </c>
      <c r="E644" s="450" t="s">
        <v>1157</v>
      </c>
      <c r="F644" s="456" t="e">
        <f>F627</f>
        <v>#DIV/0!</v>
      </c>
      <c r="H644" s="441" t="s">
        <v>1341</v>
      </c>
      <c r="I644" s="441" t="s">
        <v>1342</v>
      </c>
      <c r="J644" s="441" t="b">
        <f t="shared" si="11"/>
        <v>1</v>
      </c>
    </row>
    <row r="645" spans="1:10" hidden="1" x14ac:dyDescent="0.25">
      <c r="A645" s="441" t="str">
        <f t="shared" si="15"/>
        <v>Residential_Building Shell_Attic Kneewall Insulation #2 (Electric Heat)_Remaining Year Therms</v>
      </c>
      <c r="B645" t="s">
        <v>1095</v>
      </c>
      <c r="C645" t="s">
        <v>1099</v>
      </c>
      <c r="D645" t="s">
        <v>1349</v>
      </c>
      <c r="E645" s="450" t="s">
        <v>1324</v>
      </c>
      <c r="F645" s="456" t="e">
        <f>F639</f>
        <v>#DIV/0!</v>
      </c>
      <c r="H645" s="441" t="s">
        <v>1341</v>
      </c>
      <c r="I645" s="441" t="s">
        <v>1342</v>
      </c>
      <c r="J645" s="441" t="b">
        <f t="shared" si="11"/>
        <v>1</v>
      </c>
    </row>
    <row r="646" spans="1:10" hidden="1" x14ac:dyDescent="0.25">
      <c r="A646" s="441" t="str">
        <f t="shared" si="15"/>
        <v>Residential_Building Shell_Attic Kneewall Insulation #2 (Electric Heat)_Therms Saved per Unit</v>
      </c>
      <c r="B646" t="s">
        <v>1095</v>
      </c>
      <c r="C646" t="s">
        <v>1099</v>
      </c>
      <c r="D646" t="s">
        <v>1349</v>
      </c>
      <c r="E646" s="450" t="s">
        <v>1251</v>
      </c>
      <c r="F646" s="456" t="e">
        <f>F640</f>
        <v>#DIV/0!</v>
      </c>
      <c r="H646" s="441" t="s">
        <v>1341</v>
      </c>
      <c r="I646" s="441" t="s">
        <v>1342</v>
      </c>
      <c r="J646" s="441" t="b">
        <f t="shared" si="11"/>
        <v>1</v>
      </c>
    </row>
    <row r="647" spans="1:10" hidden="1" x14ac:dyDescent="0.25">
      <c r="A647" s="441" t="str">
        <f t="shared" si="15"/>
        <v>Residential_Building Shell_Attic Kneewall Insulation #2 (Electric Heat)_Remaining Life</v>
      </c>
      <c r="B647" t="s">
        <v>1095</v>
      </c>
      <c r="C647" t="s">
        <v>1099</v>
      </c>
      <c r="D647" t="s">
        <v>1349</v>
      </c>
      <c r="E647" s="450" t="s">
        <v>1325</v>
      </c>
      <c r="F647" s="456">
        <v>10</v>
      </c>
      <c r="H647" s="441" t="s">
        <v>1341</v>
      </c>
      <c r="I647" s="441" t="s">
        <v>1342</v>
      </c>
      <c r="J647" s="441" t="b">
        <f t="shared" ref="J647:J712" si="16">_xlfn.ISFORMULA(F647)</f>
        <v>0</v>
      </c>
    </row>
    <row r="648" spans="1:10" hidden="1" x14ac:dyDescent="0.25">
      <c r="A648" s="441" t="str">
        <f t="shared" si="15"/>
        <v>Residential_Building Shell_Attic Kneewall Insulation #2 (Electric Heat)_Lifetime (years)</v>
      </c>
      <c r="B648" t="s">
        <v>1095</v>
      </c>
      <c r="C648" t="s">
        <v>1099</v>
      </c>
      <c r="D648" t="s">
        <v>1349</v>
      </c>
      <c r="E648" s="450" t="s">
        <v>1160</v>
      </c>
      <c r="F648" s="457">
        <v>30</v>
      </c>
      <c r="H648" s="441" t="s">
        <v>1341</v>
      </c>
      <c r="I648" s="441" t="s">
        <v>1342</v>
      </c>
      <c r="J648" s="441" t="b">
        <f t="shared" si="16"/>
        <v>0</v>
      </c>
    </row>
    <row r="649" spans="1:10" hidden="1" x14ac:dyDescent="0.25">
      <c r="A649" s="441" t="str">
        <f t="shared" si="15"/>
        <v>Residential_Building Shell_Attic Kneewall Insulation #2 (Electric Heat)_Incremental Cost</v>
      </c>
      <c r="B649" t="s">
        <v>1095</v>
      </c>
      <c r="C649" t="s">
        <v>1099</v>
      </c>
      <c r="D649" t="s">
        <v>1349</v>
      </c>
      <c r="E649" s="450" t="s">
        <v>1161</v>
      </c>
      <c r="F649" s="452">
        <f>0.9*F593</f>
        <v>0</v>
      </c>
      <c r="G649" s="441" t="s">
        <v>1326</v>
      </c>
      <c r="H649" s="441" t="s">
        <v>1341</v>
      </c>
      <c r="I649" s="441" t="s">
        <v>1342</v>
      </c>
      <c r="J649" s="441" t="b">
        <f t="shared" si="16"/>
        <v>1</v>
      </c>
    </row>
    <row r="650" spans="1:10" hidden="1" x14ac:dyDescent="0.25">
      <c r="A650" s="441" t="str">
        <f t="shared" si="15"/>
        <v>Residential_Building Shell_Attic Kneewall Insulation #2 (Electric Heat)_BTU Impact_Existing_Fossil Fuel</v>
      </c>
      <c r="B650" t="s">
        <v>1095</v>
      </c>
      <c r="C650" t="s">
        <v>1099</v>
      </c>
      <c r="D650" t="s">
        <v>1349</v>
      </c>
      <c r="E650" s="450" t="s">
        <v>1163</v>
      </c>
      <c r="F650" s="451">
        <v>0</v>
      </c>
      <c r="H650" s="441" t="s">
        <v>1341</v>
      </c>
      <c r="I650" s="441" t="s">
        <v>1342</v>
      </c>
      <c r="J650" s="441" t="b">
        <f t="shared" si="16"/>
        <v>0</v>
      </c>
    </row>
    <row r="651" spans="1:10" hidden="1" x14ac:dyDescent="0.25">
      <c r="A651" s="441" t="str">
        <f t="shared" si="15"/>
        <v>Residential_Building Shell_Attic Kneewall Insulation #2 (Electric Heat)_BTU Impact_Existing_Winter Electricity</v>
      </c>
      <c r="B651" t="s">
        <v>1095</v>
      </c>
      <c r="C651" t="s">
        <v>1099</v>
      </c>
      <c r="D651" t="s">
        <v>1349</v>
      </c>
      <c r="E651" s="450" t="s">
        <v>1164</v>
      </c>
      <c r="F651" s="451">
        <v>0</v>
      </c>
      <c r="H651" s="441" t="s">
        <v>1341</v>
      </c>
      <c r="I651" s="441" t="s">
        <v>1342</v>
      </c>
      <c r="J651" s="441" t="b">
        <f t="shared" si="16"/>
        <v>0</v>
      </c>
    </row>
    <row r="652" spans="1:10" hidden="1" x14ac:dyDescent="0.25">
      <c r="A652" s="441" t="str">
        <f t="shared" si="15"/>
        <v>Residential_Building Shell_Attic Kneewall Insulation #2 (Electric Heat)_BTU Impact_Existing_Summer Electricity</v>
      </c>
      <c r="B652" t="s">
        <v>1095</v>
      </c>
      <c r="C652" t="s">
        <v>1099</v>
      </c>
      <c r="D652" t="s">
        <v>1349</v>
      </c>
      <c r="E652" s="450" t="s">
        <v>1165</v>
      </c>
      <c r="F652" s="451">
        <v>0</v>
      </c>
      <c r="H652" s="441" t="s">
        <v>1341</v>
      </c>
      <c r="I652" s="441" t="s">
        <v>1342</v>
      </c>
      <c r="J652" s="441" t="b">
        <f t="shared" si="16"/>
        <v>0</v>
      </c>
    </row>
    <row r="653" spans="1:10" hidden="1" x14ac:dyDescent="0.25">
      <c r="A653" s="441" t="str">
        <f t="shared" si="15"/>
        <v>Residential_Building Shell_Attic Kneewall Insulation #2 (Electric Heat)_BTU Impact_New_Fossil Fuel</v>
      </c>
      <c r="B653" t="s">
        <v>1095</v>
      </c>
      <c r="C653" t="s">
        <v>1099</v>
      </c>
      <c r="D653" t="s">
        <v>1349</v>
      </c>
      <c r="E653" s="450" t="s">
        <v>1166</v>
      </c>
      <c r="F653" s="451">
        <v>0</v>
      </c>
      <c r="H653" s="441" t="s">
        <v>1341</v>
      </c>
      <c r="I653" s="441" t="s">
        <v>1342</v>
      </c>
      <c r="J653" s="441" t="b">
        <f t="shared" si="16"/>
        <v>0</v>
      </c>
    </row>
    <row r="654" spans="1:10" hidden="1" x14ac:dyDescent="0.25">
      <c r="A654" s="441" t="str">
        <f t="shared" si="15"/>
        <v>Residential_Building Shell_Attic Kneewall Insulation #2 (Electric Heat)_BTU Impact_New_Winter Electricity</v>
      </c>
      <c r="B654" t="s">
        <v>1095</v>
      </c>
      <c r="C654" t="s">
        <v>1099</v>
      </c>
      <c r="D654" t="s">
        <v>1349</v>
      </c>
      <c r="E654" s="450" t="s">
        <v>1167</v>
      </c>
      <c r="F654" s="451" t="e">
        <f>-F616*3412</f>
        <v>#DIV/0!</v>
      </c>
      <c r="H654" s="441" t="s">
        <v>1341</v>
      </c>
      <c r="I654" s="441" t="s">
        <v>1342</v>
      </c>
      <c r="J654" s="441" t="b">
        <f t="shared" si="16"/>
        <v>1</v>
      </c>
    </row>
    <row r="655" spans="1:10" hidden="1" x14ac:dyDescent="0.25">
      <c r="A655" s="441" t="str">
        <f t="shared" si="15"/>
        <v>Residential_Building Shell_Attic Kneewall Insulation #2 (Electric Heat)_BTU Impact_New_Summer Electricity</v>
      </c>
      <c r="B655" t="s">
        <v>1095</v>
      </c>
      <c r="C655" t="s">
        <v>1099</v>
      </c>
      <c r="D655" t="s">
        <v>1349</v>
      </c>
      <c r="E655" s="450" t="s">
        <v>1168</v>
      </c>
      <c r="F655" s="451" t="e">
        <f>-F603*3412</f>
        <v>#DIV/0!</v>
      </c>
      <c r="H655" s="441" t="s">
        <v>1341</v>
      </c>
      <c r="I655" s="441" t="s">
        <v>1342</v>
      </c>
      <c r="J655" s="441" t="b">
        <f t="shared" si="16"/>
        <v>1</v>
      </c>
    </row>
    <row r="656" spans="1:10" hidden="1" x14ac:dyDescent="0.25">
      <c r="A656" s="441" t="str">
        <f t="shared" si="15"/>
        <v>Residential_Building Shell_Attic Kneewall Insulation #2 (Electric Heat)_</v>
      </c>
      <c r="B656" t="s">
        <v>1095</v>
      </c>
      <c r="C656" t="s">
        <v>1099</v>
      </c>
      <c r="D656" t="s">
        <v>1349</v>
      </c>
      <c r="H656" s="441" t="s">
        <v>1341</v>
      </c>
      <c r="I656" s="441" t="s">
        <v>1342</v>
      </c>
      <c r="J656" s="441" t="b">
        <f t="shared" si="16"/>
        <v>0</v>
      </c>
    </row>
    <row r="657" spans="1:10" hidden="1" x14ac:dyDescent="0.25">
      <c r="A657" s="441" t="str">
        <f t="shared" si="15"/>
        <v>Residential_Building Shell_Wall Insulation (Electric Heat)_R_old</v>
      </c>
      <c r="B657" t="s">
        <v>1095</v>
      </c>
      <c r="C657" t="s">
        <v>1099</v>
      </c>
      <c r="D657" t="s">
        <v>1350</v>
      </c>
      <c r="E657" s="444" t="s">
        <v>1328</v>
      </c>
      <c r="F657" s="454">
        <f>[18]Dashboard_FS!$O$19</f>
        <v>1</v>
      </c>
      <c r="G657" s="441" t="s">
        <v>1351</v>
      </c>
      <c r="H657" s="441" t="s">
        <v>1341</v>
      </c>
      <c r="I657" s="441" t="s">
        <v>1342</v>
      </c>
      <c r="J657" s="441" t="b">
        <f t="shared" si="16"/>
        <v>1</v>
      </c>
    </row>
    <row r="658" spans="1:10" hidden="1" x14ac:dyDescent="0.25">
      <c r="A658" s="441" t="str">
        <f t="shared" si="15"/>
        <v>Residential_Building Shell_Wall Insulation (Electric Heat)_R_wall</v>
      </c>
      <c r="B658" t="s">
        <v>1095</v>
      </c>
      <c r="C658" t="s">
        <v>1099</v>
      </c>
      <c r="D658" t="s">
        <v>1350</v>
      </c>
      <c r="E658" s="444" t="s">
        <v>1343</v>
      </c>
      <c r="F658" s="454">
        <f>[18]Dashboard_FS!$P$19</f>
        <v>0</v>
      </c>
      <c r="H658" s="441" t="s">
        <v>1341</v>
      </c>
      <c r="I658" s="441" t="s">
        <v>1342</v>
      </c>
      <c r="J658" s="441" t="b">
        <f t="shared" si="16"/>
        <v>1</v>
      </c>
    </row>
    <row r="659" spans="1:10" hidden="1" x14ac:dyDescent="0.25">
      <c r="A659" s="441" t="str">
        <f t="shared" si="15"/>
        <v>Residential_Building Shell_Wall Insulation (Electric Heat)_A_wall</v>
      </c>
      <c r="B659" t="s">
        <v>1095</v>
      </c>
      <c r="C659" t="s">
        <v>1099</v>
      </c>
      <c r="D659" t="s">
        <v>1350</v>
      </c>
      <c r="E659" s="442" t="s">
        <v>1344</v>
      </c>
      <c r="F659" s="453">
        <f>[18]Dashboard_FS!$O$8</f>
        <v>0</v>
      </c>
      <c r="G659" s="441" t="s">
        <v>1289</v>
      </c>
      <c r="H659" s="441" t="s">
        <v>1341</v>
      </c>
      <c r="I659" s="441" t="s">
        <v>1342</v>
      </c>
      <c r="J659" s="441" t="b">
        <f t="shared" si="16"/>
        <v>1</v>
      </c>
    </row>
    <row r="660" spans="1:10" hidden="1" x14ac:dyDescent="0.25">
      <c r="A660" s="441" t="str">
        <f t="shared" si="15"/>
        <v>Residential_Building Shell_Wall Insulation (Electric Heat)_Framing_factor_wall</v>
      </c>
      <c r="B660" t="s">
        <v>1095</v>
      </c>
      <c r="C660" t="s">
        <v>1099</v>
      </c>
      <c r="D660" t="s">
        <v>1350</v>
      </c>
      <c r="E660" s="444" t="s">
        <v>1345</v>
      </c>
      <c r="F660" s="454">
        <v>0.25</v>
      </c>
      <c r="H660" s="441" t="s">
        <v>1341</v>
      </c>
      <c r="I660" s="441" t="s">
        <v>1342</v>
      </c>
      <c r="J660" s="441" t="b">
        <f t="shared" si="16"/>
        <v>0</v>
      </c>
    </row>
    <row r="661" spans="1:10" hidden="1" x14ac:dyDescent="0.25">
      <c r="A661" s="441" t="str">
        <f t="shared" si="15"/>
        <v>Residential_Building Shell_Wall Insulation (Electric Heat)_24</v>
      </c>
      <c r="B661" t="s">
        <v>1095</v>
      </c>
      <c r="C661" t="s">
        <v>1099</v>
      </c>
      <c r="D661" t="s">
        <v>1350</v>
      </c>
      <c r="E661" s="444">
        <v>24</v>
      </c>
      <c r="F661" s="454">
        <v>24</v>
      </c>
      <c r="H661" s="441" t="s">
        <v>1341</v>
      </c>
      <c r="I661" s="441" t="s">
        <v>1342</v>
      </c>
      <c r="J661" s="441" t="b">
        <f t="shared" si="16"/>
        <v>0</v>
      </c>
    </row>
    <row r="662" spans="1:10" hidden="1" x14ac:dyDescent="0.25">
      <c r="A662" s="441" t="str">
        <f t="shared" si="15"/>
        <v>Residential_Building Shell_Wall Insulation (Electric Heat)_CDD</v>
      </c>
      <c r="B662" t="s">
        <v>1095</v>
      </c>
      <c r="C662" t="s">
        <v>1099</v>
      </c>
      <c r="D662" t="s">
        <v>1350</v>
      </c>
      <c r="E662" s="444" t="s">
        <v>1296</v>
      </c>
      <c r="F662" s="464">
        <f>INDEX('[18]CZ Inputs'!G:G,MATCH(A662&amp;"_"&amp;[18]Dashboard_EE!$K$3,'[18]CZ Inputs'!A:A,0))</f>
        <v>1183</v>
      </c>
      <c r="G662" s="441" t="s">
        <v>1297</v>
      </c>
      <c r="H662" s="441" t="s">
        <v>1341</v>
      </c>
      <c r="I662" s="441" t="s">
        <v>1342</v>
      </c>
      <c r="J662" s="441" t="b">
        <f t="shared" si="16"/>
        <v>1</v>
      </c>
    </row>
    <row r="663" spans="1:10" hidden="1" x14ac:dyDescent="0.25">
      <c r="A663" s="441" t="str">
        <f t="shared" si="15"/>
        <v>Residential_Building Shell_Wall Insulation (Electric Heat)_DUA</v>
      </c>
      <c r="B663" t="s">
        <v>1095</v>
      </c>
      <c r="C663" t="s">
        <v>1099</v>
      </c>
      <c r="D663" t="s">
        <v>1350</v>
      </c>
      <c r="E663" s="444" t="s">
        <v>1298</v>
      </c>
      <c r="F663" s="454">
        <v>0.75</v>
      </c>
      <c r="H663" s="441" t="s">
        <v>1341</v>
      </c>
      <c r="I663" s="441" t="s">
        <v>1342</v>
      </c>
      <c r="J663" s="441" t="b">
        <f t="shared" si="16"/>
        <v>0</v>
      </c>
    </row>
    <row r="664" spans="1:10" hidden="1" x14ac:dyDescent="0.25">
      <c r="A664" s="441" t="str">
        <f t="shared" si="15"/>
        <v>Residential_Building Shell_Wall Insulation (Electric Heat)_1000</v>
      </c>
      <c r="B664" t="s">
        <v>1095</v>
      </c>
      <c r="C664" t="s">
        <v>1099</v>
      </c>
      <c r="D664" t="s">
        <v>1350</v>
      </c>
      <c r="E664" s="444">
        <v>1000</v>
      </c>
      <c r="F664" s="454">
        <v>1000</v>
      </c>
      <c r="H664" s="441" t="s">
        <v>1341</v>
      </c>
      <c r="I664" s="441" t="s">
        <v>1342</v>
      </c>
      <c r="J664" s="441" t="b">
        <f t="shared" si="16"/>
        <v>0</v>
      </c>
    </row>
    <row r="665" spans="1:10" hidden="1" x14ac:dyDescent="0.25">
      <c r="A665" s="441" t="str">
        <f t="shared" si="15"/>
        <v>Residential_Building Shell_Wall Insulation (Electric Heat)_ηCool</v>
      </c>
      <c r="B665" t="s">
        <v>1095</v>
      </c>
      <c r="C665" t="s">
        <v>1099</v>
      </c>
      <c r="D665" t="s">
        <v>1350</v>
      </c>
      <c r="E665" s="442" t="s">
        <v>1299</v>
      </c>
      <c r="F665" s="467">
        <f>[18]Dashboard_FS!$K$14</f>
        <v>0</v>
      </c>
      <c r="G665" s="441" t="s">
        <v>1116</v>
      </c>
      <c r="H665" s="441" t="s">
        <v>1341</v>
      </c>
      <c r="I665" s="441" t="s">
        <v>1342</v>
      </c>
      <c r="J665" s="441" t="b">
        <f t="shared" si="16"/>
        <v>1</v>
      </c>
    </row>
    <row r="666" spans="1:10" hidden="1" x14ac:dyDescent="0.25">
      <c r="A666" s="441" t="str">
        <f t="shared" si="15"/>
        <v>Residential_Building Shell_Wall Insulation (Electric Heat)_ηCool_Mid-Life_Adj</v>
      </c>
      <c r="B666" t="s">
        <v>1095</v>
      </c>
      <c r="C666" t="s">
        <v>1099</v>
      </c>
      <c r="D666" t="s">
        <v>1350</v>
      </c>
      <c r="E666" s="442" t="s">
        <v>1300</v>
      </c>
      <c r="F666" s="453">
        <f>[18]Dashboard_FS!$K$14</f>
        <v>0</v>
      </c>
      <c r="G666" s="441" t="s">
        <v>1116</v>
      </c>
      <c r="H666" s="441" t="s">
        <v>1341</v>
      </c>
      <c r="I666" s="441" t="s">
        <v>1342</v>
      </c>
      <c r="J666" s="441" t="b">
        <f t="shared" si="16"/>
        <v>1</v>
      </c>
    </row>
    <row r="667" spans="1:10" hidden="1" x14ac:dyDescent="0.25">
      <c r="A667" s="441" t="str">
        <f t="shared" si="15"/>
        <v>Residential_Building Shell_Wall Insulation (Electric Heat)_ADJWallCool</v>
      </c>
      <c r="B667" t="s">
        <v>1095</v>
      </c>
      <c r="C667" t="s">
        <v>1099</v>
      </c>
      <c r="D667" t="s">
        <v>1350</v>
      </c>
      <c r="E667" s="444" t="s">
        <v>1346</v>
      </c>
      <c r="F667" s="464">
        <v>0.75</v>
      </c>
      <c r="H667" s="441" t="s">
        <v>1341</v>
      </c>
      <c r="I667" s="441" t="s">
        <v>1342</v>
      </c>
      <c r="J667" s="441" t="b">
        <f t="shared" si="16"/>
        <v>0</v>
      </c>
    </row>
    <row r="668" spans="1:10" hidden="1" x14ac:dyDescent="0.25">
      <c r="A668" s="441" t="str">
        <f t="shared" si="15"/>
        <v>Residential_Building Shell_Wall Insulation (Electric Heat)_%Cool</v>
      </c>
      <c r="B668" t="s">
        <v>1095</v>
      </c>
      <c r="C668" t="s">
        <v>1099</v>
      </c>
      <c r="D668" t="s">
        <v>1350</v>
      </c>
      <c r="E668" s="444" t="s">
        <v>1272</v>
      </c>
      <c r="F668" s="454">
        <v>1</v>
      </c>
      <c r="H668" s="441" t="s">
        <v>1341</v>
      </c>
      <c r="I668" s="441" t="s">
        <v>1342</v>
      </c>
      <c r="J668" s="441" t="b">
        <f t="shared" si="16"/>
        <v>0</v>
      </c>
    </row>
    <row r="669" spans="1:10" hidden="1" x14ac:dyDescent="0.25">
      <c r="A669" s="441" t="str">
        <f t="shared" si="15"/>
        <v>Residential_Building Shell_Wall Insulation (Electric Heat)_Delta_kWh_cooling</v>
      </c>
      <c r="B669" t="s">
        <v>1095</v>
      </c>
      <c r="C669" t="s">
        <v>1099</v>
      </c>
      <c r="D669" t="s">
        <v>1350</v>
      </c>
      <c r="E669" s="442" t="s">
        <v>1305</v>
      </c>
      <c r="F669" s="453" t="e">
        <f xml:space="preserve"> ((((1/ F657 - 1/ F658) * F659 * (1 - F660)) * F661 * F662 * F663) / (F664 * F665)) * F667 * F668</f>
        <v>#DIV/0!</v>
      </c>
      <c r="H669" s="441" t="s">
        <v>1341</v>
      </c>
      <c r="I669" s="441" t="s">
        <v>1342</v>
      </c>
      <c r="J669" s="441" t="b">
        <f t="shared" si="16"/>
        <v>1</v>
      </c>
    </row>
    <row r="670" spans="1:10" hidden="1" x14ac:dyDescent="0.25">
      <c r="A670" s="441" t="str">
        <f t="shared" si="15"/>
        <v>Residential_Building Shell_Wall Insulation (Electric Heat)_Delta_kWh_cooling_Mid-Life_Adj</v>
      </c>
      <c r="B670" t="s">
        <v>1095</v>
      </c>
      <c r="C670" t="s">
        <v>1099</v>
      </c>
      <c r="D670" t="s">
        <v>1350</v>
      </c>
      <c r="E670" s="442" t="s">
        <v>1306</v>
      </c>
      <c r="F670" s="453" t="e">
        <f xml:space="preserve"> ((((1/ F657 - 1/ F658) * F659 * (1 - F660)) * F661 * F662 * F663) / (F664 * F666)) * F667 * F668</f>
        <v>#DIV/0!</v>
      </c>
      <c r="H670" s="441" t="s">
        <v>1341</v>
      </c>
      <c r="I670" s="441" t="s">
        <v>1342</v>
      </c>
      <c r="J670" s="441" t="b">
        <f t="shared" si="16"/>
        <v>1</v>
      </c>
    </row>
    <row r="671" spans="1:10" hidden="1" x14ac:dyDescent="0.25">
      <c r="A671" s="441" t="str">
        <f t="shared" si="15"/>
        <v>Residential_Building Shell_Wall Insulation (Electric Heat)_R_old</v>
      </c>
      <c r="B671" t="s">
        <v>1095</v>
      </c>
      <c r="C671" t="s">
        <v>1099</v>
      </c>
      <c r="D671" t="s">
        <v>1350</v>
      </c>
      <c r="E671" s="444" t="s">
        <v>1328</v>
      </c>
      <c r="F671" s="454">
        <f>[18]Dashboard_FS!$O$19</f>
        <v>1</v>
      </c>
      <c r="G671" s="441" t="s">
        <v>1351</v>
      </c>
      <c r="H671" s="441" t="s">
        <v>1341</v>
      </c>
      <c r="I671" s="441" t="s">
        <v>1342</v>
      </c>
      <c r="J671" s="441" t="b">
        <f t="shared" si="16"/>
        <v>1</v>
      </c>
    </row>
    <row r="672" spans="1:10" hidden="1" x14ac:dyDescent="0.25">
      <c r="A672" s="441" t="str">
        <f t="shared" si="15"/>
        <v>Residential_Building Shell_Wall Insulation (Electric Heat)_R_wall</v>
      </c>
      <c r="B672" t="s">
        <v>1095</v>
      </c>
      <c r="C672" t="s">
        <v>1099</v>
      </c>
      <c r="D672" t="s">
        <v>1350</v>
      </c>
      <c r="E672" s="444" t="s">
        <v>1343</v>
      </c>
      <c r="F672" s="454">
        <f>[18]Dashboard_FS!$P$19</f>
        <v>0</v>
      </c>
      <c r="H672" s="441" t="s">
        <v>1341</v>
      </c>
      <c r="I672" s="441" t="s">
        <v>1342</v>
      </c>
      <c r="J672" s="441" t="b">
        <f t="shared" si="16"/>
        <v>1</v>
      </c>
    </row>
    <row r="673" spans="1:10" hidden="1" x14ac:dyDescent="0.25">
      <c r="A673" s="441" t="str">
        <f t="shared" si="15"/>
        <v>Residential_Building Shell_Wall Insulation (Electric Heat)_A_wall</v>
      </c>
      <c r="B673" t="s">
        <v>1095</v>
      </c>
      <c r="C673" t="s">
        <v>1099</v>
      </c>
      <c r="D673" t="s">
        <v>1350</v>
      </c>
      <c r="E673" s="442" t="s">
        <v>1344</v>
      </c>
      <c r="F673" s="453">
        <f>[18]Dashboard_FS!$O$8</f>
        <v>0</v>
      </c>
      <c r="G673" s="441" t="s">
        <v>1289</v>
      </c>
      <c r="H673" s="441" t="s">
        <v>1341</v>
      </c>
      <c r="I673" s="441" t="s">
        <v>1342</v>
      </c>
      <c r="J673" s="441" t="b">
        <f t="shared" si="16"/>
        <v>1</v>
      </c>
    </row>
    <row r="674" spans="1:10" hidden="1" x14ac:dyDescent="0.25">
      <c r="A674" s="441" t="str">
        <f t="shared" si="15"/>
        <v>Residential_Building Shell_Wall Insulation (Electric Heat)_Framing_factor_wall</v>
      </c>
      <c r="B674" t="s">
        <v>1095</v>
      </c>
      <c r="C674" t="s">
        <v>1099</v>
      </c>
      <c r="D674" t="s">
        <v>1350</v>
      </c>
      <c r="E674" s="444" t="s">
        <v>1345</v>
      </c>
      <c r="F674" s="454">
        <v>0.25</v>
      </c>
      <c r="H674" s="441" t="s">
        <v>1341</v>
      </c>
      <c r="I674" s="441" t="s">
        <v>1342</v>
      </c>
      <c r="J674" s="441" t="b">
        <f t="shared" si="16"/>
        <v>0</v>
      </c>
    </row>
    <row r="675" spans="1:10" hidden="1" x14ac:dyDescent="0.25">
      <c r="A675" s="441" t="str">
        <f t="shared" si="15"/>
        <v>Residential_Building Shell_Wall Insulation (Electric Heat)_24</v>
      </c>
      <c r="B675" t="s">
        <v>1095</v>
      </c>
      <c r="C675" t="s">
        <v>1099</v>
      </c>
      <c r="D675" t="s">
        <v>1350</v>
      </c>
      <c r="E675" s="444">
        <v>24</v>
      </c>
      <c r="F675" s="454">
        <v>24</v>
      </c>
      <c r="H675" s="441" t="s">
        <v>1341</v>
      </c>
      <c r="I675" s="441" t="s">
        <v>1342</v>
      </c>
      <c r="J675" s="441" t="b">
        <f t="shared" si="16"/>
        <v>0</v>
      </c>
    </row>
    <row r="676" spans="1:10" hidden="1" x14ac:dyDescent="0.25">
      <c r="A676" s="441" t="str">
        <f t="shared" si="15"/>
        <v>Residential_Building Shell_Wall Insulation (Electric Heat)_HDD</v>
      </c>
      <c r="B676" t="s">
        <v>1095</v>
      </c>
      <c r="C676" t="s">
        <v>1099</v>
      </c>
      <c r="D676" t="s">
        <v>1350</v>
      </c>
      <c r="E676" s="444" t="s">
        <v>1308</v>
      </c>
      <c r="F676" s="464">
        <f>INDEX('[18]CZ Inputs'!G:G,MATCH(A676&amp;"_"&amp;[18]Dashboard_EE!$K$3,'[18]CZ Inputs'!A:A,0))</f>
        <v>4266</v>
      </c>
      <c r="G676" s="441" t="s">
        <v>1297</v>
      </c>
      <c r="H676" s="441" t="s">
        <v>1341</v>
      </c>
      <c r="I676" s="441" t="s">
        <v>1342</v>
      </c>
      <c r="J676" s="441" t="b">
        <f t="shared" si="16"/>
        <v>1</v>
      </c>
    </row>
    <row r="677" spans="1:10" hidden="1" x14ac:dyDescent="0.25">
      <c r="A677" s="441" t="str">
        <f t="shared" si="15"/>
        <v>Residential_Building Shell_Wall Insulation (Electric Heat)_ηHeat</v>
      </c>
      <c r="B677" t="s">
        <v>1095</v>
      </c>
      <c r="C677" t="s">
        <v>1099</v>
      </c>
      <c r="D677" t="s">
        <v>1350</v>
      </c>
      <c r="E677" s="442" t="s">
        <v>1309</v>
      </c>
      <c r="F677" s="453">
        <f>[18]Dashboard_FS!$K$6</f>
        <v>0</v>
      </c>
      <c r="G677" s="441" t="s">
        <v>1116</v>
      </c>
      <c r="H677" s="441" t="s">
        <v>1341</v>
      </c>
      <c r="I677" s="441" t="s">
        <v>1342</v>
      </c>
      <c r="J677" s="441" t="b">
        <f t="shared" si="16"/>
        <v>1</v>
      </c>
    </row>
    <row r="678" spans="1:10" hidden="1" x14ac:dyDescent="0.25">
      <c r="A678" s="441" t="str">
        <f t="shared" si="15"/>
        <v>Residential_Building Shell_Wall Insulation (Electric Heat)_ηHeat_Mid-Life_Adj</v>
      </c>
      <c r="B678" t="s">
        <v>1095</v>
      </c>
      <c r="C678" t="s">
        <v>1099</v>
      </c>
      <c r="D678" t="s">
        <v>1350</v>
      </c>
      <c r="E678" s="442" t="s">
        <v>1310</v>
      </c>
      <c r="F678" s="453">
        <f>[18]Dashboard_FS!$K$6</f>
        <v>0</v>
      </c>
      <c r="G678" s="441" t="s">
        <v>1116</v>
      </c>
      <c r="H678" s="441" t="s">
        <v>1341</v>
      </c>
      <c r="I678" s="441" t="s">
        <v>1342</v>
      </c>
      <c r="J678" s="441" t="b">
        <f t="shared" si="16"/>
        <v>1</v>
      </c>
    </row>
    <row r="679" spans="1:10" hidden="1" x14ac:dyDescent="0.25">
      <c r="A679" s="441" t="str">
        <f t="shared" si="15"/>
        <v>Residential_Building Shell_Wall Insulation (Electric Heat)_3412</v>
      </c>
      <c r="B679" t="s">
        <v>1095</v>
      </c>
      <c r="C679" t="s">
        <v>1099</v>
      </c>
      <c r="D679" t="s">
        <v>1350</v>
      </c>
      <c r="E679" s="444">
        <v>3412</v>
      </c>
      <c r="F679" s="454">
        <v>3412</v>
      </c>
      <c r="H679" s="441" t="s">
        <v>1341</v>
      </c>
      <c r="I679" s="441" t="s">
        <v>1342</v>
      </c>
      <c r="J679" s="441" t="b">
        <f t="shared" si="16"/>
        <v>0</v>
      </c>
    </row>
    <row r="680" spans="1:10" hidden="1" x14ac:dyDescent="0.25">
      <c r="A680" s="441" t="str">
        <f t="shared" si="15"/>
        <v>Residential_Building Shell_Wall Insulation (Electric Heat)_ADJWallHeat</v>
      </c>
      <c r="B680" t="s">
        <v>1095</v>
      </c>
      <c r="C680" t="s">
        <v>1099</v>
      </c>
      <c r="D680" t="s">
        <v>1350</v>
      </c>
      <c r="E680" s="444" t="s">
        <v>1347</v>
      </c>
      <c r="F680" s="464">
        <v>0.63</v>
      </c>
      <c r="H680" s="441" t="s">
        <v>1341</v>
      </c>
      <c r="I680" s="441" t="s">
        <v>1342</v>
      </c>
      <c r="J680" s="441" t="b">
        <f t="shared" si="16"/>
        <v>0</v>
      </c>
    </row>
    <row r="681" spans="1:10" hidden="1" x14ac:dyDescent="0.25">
      <c r="A681" s="441" t="str">
        <f t="shared" si="15"/>
        <v>Residential_Building Shell_Wall Insulation (Electric Heat)_%ElectricHeat</v>
      </c>
      <c r="B681" t="s">
        <v>1095</v>
      </c>
      <c r="C681" t="s">
        <v>1099</v>
      </c>
      <c r="D681" t="s">
        <v>1350</v>
      </c>
      <c r="E681" s="444" t="s">
        <v>1277</v>
      </c>
      <c r="F681" s="454">
        <v>1</v>
      </c>
      <c r="G681" s="441" t="s">
        <v>1311</v>
      </c>
      <c r="H681" s="441" t="s">
        <v>1341</v>
      </c>
      <c r="I681" s="441" t="s">
        <v>1342</v>
      </c>
      <c r="J681" s="441" t="b">
        <f t="shared" si="16"/>
        <v>0</v>
      </c>
    </row>
    <row r="682" spans="1:10" hidden="1" x14ac:dyDescent="0.25">
      <c r="A682" s="441" t="str">
        <f t="shared" si="15"/>
        <v>Residential_Building Shell_Wall Insulation (Electric Heat)_Delta_kWh_heatingElectric</v>
      </c>
      <c r="B682" t="s">
        <v>1095</v>
      </c>
      <c r="C682" t="s">
        <v>1099</v>
      </c>
      <c r="D682" t="s">
        <v>1350</v>
      </c>
      <c r="E682" s="442" t="s">
        <v>1312</v>
      </c>
      <c r="F682" s="453" t="e">
        <f xml:space="preserve"> (((1/ F671 - 1/ F672) * F673 * (1 - F674) * F675 * F676) / (F677 * F679)) * F680 * F681</f>
        <v>#DIV/0!</v>
      </c>
      <c r="H682" s="441" t="s">
        <v>1341</v>
      </c>
      <c r="I682" s="441" t="s">
        <v>1342</v>
      </c>
      <c r="J682" s="441" t="b">
        <f t="shared" si="16"/>
        <v>1</v>
      </c>
    </row>
    <row r="683" spans="1:10" hidden="1" x14ac:dyDescent="0.25">
      <c r="A683" s="441" t="str">
        <f t="shared" si="15"/>
        <v>Residential_Building Shell_Wall Insulation (Electric Heat)_Delta_kWh_heatingElectric_Mid-Life_Adj</v>
      </c>
      <c r="B683" t="s">
        <v>1095</v>
      </c>
      <c r="C683" t="s">
        <v>1099</v>
      </c>
      <c r="D683" t="s">
        <v>1350</v>
      </c>
      <c r="E683" s="442" t="s">
        <v>1313</v>
      </c>
      <c r="F683" s="453" t="e">
        <f xml:space="preserve"> (((1/ F671 - 1/ F672) * F673 * (1 - F674) * F675 * F676) / (F678 * F679)) * F680 * F681</f>
        <v>#DIV/0!</v>
      </c>
      <c r="H683" s="441" t="s">
        <v>1341</v>
      </c>
      <c r="I683" s="441" t="s">
        <v>1342</v>
      </c>
      <c r="J683" s="441" t="b">
        <f t="shared" si="16"/>
        <v>1</v>
      </c>
    </row>
    <row r="684" spans="1:10" hidden="1" x14ac:dyDescent="0.25">
      <c r="A684" s="441" t="str">
        <f t="shared" si="15"/>
        <v>Residential_Building Shell_Wall Insulation (Electric Heat)_Delta_Therms</v>
      </c>
      <c r="B684" t="s">
        <v>1095</v>
      </c>
      <c r="C684" t="s">
        <v>1099</v>
      </c>
      <c r="D684" t="s">
        <v>1350</v>
      </c>
      <c r="E684" s="442" t="s">
        <v>1229</v>
      </c>
      <c r="F684" s="453" t="e">
        <f>F705</f>
        <v>#DIV/0!</v>
      </c>
      <c r="H684" s="441" t="s">
        <v>1341</v>
      </c>
      <c r="I684" s="441" t="s">
        <v>1342</v>
      </c>
      <c r="J684" s="441" t="b">
        <f t="shared" si="16"/>
        <v>1</v>
      </c>
    </row>
    <row r="685" spans="1:10" hidden="1" x14ac:dyDescent="0.25">
      <c r="A685" s="441" t="str">
        <f t="shared" si="15"/>
        <v>Residential_Building Shell_Wall Insulation (Electric Heat)_Delta_Therms_Mid-Life_Adj</v>
      </c>
      <c r="B685" t="s">
        <v>1095</v>
      </c>
      <c r="C685" t="s">
        <v>1099</v>
      </c>
      <c r="D685" t="s">
        <v>1350</v>
      </c>
      <c r="E685" s="442" t="s">
        <v>1348</v>
      </c>
      <c r="F685" s="453" t="e">
        <f>F706</f>
        <v>#DIV/0!</v>
      </c>
      <c r="H685" s="441" t="s">
        <v>1341</v>
      </c>
      <c r="I685" s="441" t="s">
        <v>1342</v>
      </c>
      <c r="J685" s="441" t="b">
        <f t="shared" si="16"/>
        <v>1</v>
      </c>
    </row>
    <row r="686" spans="1:10" hidden="1" x14ac:dyDescent="0.25">
      <c r="A686" s="441" t="str">
        <f t="shared" si="15"/>
        <v>Residential_Building Shell_Wall Insulation (Electric Heat)_Fe</v>
      </c>
      <c r="B686" t="s">
        <v>1095</v>
      </c>
      <c r="C686" t="s">
        <v>1099</v>
      </c>
      <c r="D686" t="s">
        <v>1350</v>
      </c>
      <c r="E686" s="444" t="s">
        <v>1127</v>
      </c>
      <c r="F686" s="454">
        <v>3.1399999999999997E-2</v>
      </c>
      <c r="H686" s="441" t="s">
        <v>1341</v>
      </c>
      <c r="I686" s="441" t="s">
        <v>1342</v>
      </c>
      <c r="J686" s="441" t="b">
        <f t="shared" si="16"/>
        <v>0</v>
      </c>
    </row>
    <row r="687" spans="1:10" hidden="1" x14ac:dyDescent="0.25">
      <c r="A687" s="441" t="str">
        <f t="shared" si="15"/>
        <v>Residential_Building Shell_Wall Insulation (Electric Heat)_29.3</v>
      </c>
      <c r="B687" t="s">
        <v>1095</v>
      </c>
      <c r="C687" t="s">
        <v>1099</v>
      </c>
      <c r="D687" t="s">
        <v>1350</v>
      </c>
      <c r="E687" s="444">
        <v>29.3</v>
      </c>
      <c r="F687" s="454">
        <v>29.3</v>
      </c>
      <c r="H687" s="441" t="s">
        <v>1341</v>
      </c>
      <c r="I687" s="441" t="s">
        <v>1342</v>
      </c>
      <c r="J687" s="441" t="b">
        <f t="shared" si="16"/>
        <v>0</v>
      </c>
    </row>
    <row r="688" spans="1:10" hidden="1" x14ac:dyDescent="0.25">
      <c r="A688" s="441" t="str">
        <f t="shared" si="15"/>
        <v>Residential_Building Shell_Wall Insulation (Electric Heat)_Delta_kWh_heatingGas</v>
      </c>
      <c r="B688" t="s">
        <v>1095</v>
      </c>
      <c r="C688" t="s">
        <v>1099</v>
      </c>
      <c r="D688" t="s">
        <v>1350</v>
      </c>
      <c r="E688" s="442" t="s">
        <v>1315</v>
      </c>
      <c r="F688" s="453" t="e">
        <f>F684*F686*F687</f>
        <v>#DIV/0!</v>
      </c>
      <c r="H688" s="441" t="s">
        <v>1341</v>
      </c>
      <c r="I688" s="441" t="s">
        <v>1342</v>
      </c>
      <c r="J688" s="441" t="b">
        <f t="shared" si="16"/>
        <v>1</v>
      </c>
    </row>
    <row r="689" spans="1:10" hidden="1" x14ac:dyDescent="0.25">
      <c r="A689" s="441" t="str">
        <f t="shared" si="15"/>
        <v>Residential_Building Shell_Wall Insulation (Electric Heat)_Delta_kWh_heatingGas_Mid-Life_Adj</v>
      </c>
      <c r="B689" t="s">
        <v>1095</v>
      </c>
      <c r="C689" t="s">
        <v>1099</v>
      </c>
      <c r="D689" t="s">
        <v>1350</v>
      </c>
      <c r="E689" s="442" t="s">
        <v>1316</v>
      </c>
      <c r="F689" s="453" t="e">
        <f>F685*F686*F687</f>
        <v>#DIV/0!</v>
      </c>
      <c r="H689" s="441" t="s">
        <v>1341</v>
      </c>
      <c r="I689" s="441" t="s">
        <v>1342</v>
      </c>
      <c r="J689" s="441" t="b">
        <f t="shared" si="16"/>
        <v>1</v>
      </c>
    </row>
    <row r="690" spans="1:10" hidden="1" x14ac:dyDescent="0.25">
      <c r="A690" s="441" t="str">
        <f t="shared" si="15"/>
        <v>Residential_Building Shell_Wall Insulation (Electric Heat)_FLH_cooling</v>
      </c>
      <c r="B690" t="s">
        <v>1095</v>
      </c>
      <c r="C690" t="s">
        <v>1099</v>
      </c>
      <c r="D690" t="s">
        <v>1350</v>
      </c>
      <c r="E690" s="444" t="s">
        <v>1317</v>
      </c>
      <c r="F690" s="464">
        <f>INDEX('[18]CZ Inputs'!G:G,MATCH(A690&amp;"_"&amp;[18]Dashboard_EE!$K$3,'[18]CZ Inputs'!A:A,0))</f>
        <v>779</v>
      </c>
      <c r="G690" s="441" t="s">
        <v>1297</v>
      </c>
      <c r="H690" s="441" t="s">
        <v>1341</v>
      </c>
      <c r="I690" s="441" t="s">
        <v>1342</v>
      </c>
      <c r="J690" s="441" t="b">
        <f t="shared" si="16"/>
        <v>1</v>
      </c>
    </row>
    <row r="691" spans="1:10" hidden="1" x14ac:dyDescent="0.25">
      <c r="A691" s="441" t="str">
        <f t="shared" si="15"/>
        <v>Residential_Building Shell_Wall Insulation (Electric Heat)_CF</v>
      </c>
      <c r="B691" t="s">
        <v>1095</v>
      </c>
      <c r="C691" t="s">
        <v>1099</v>
      </c>
      <c r="D691" t="s">
        <v>1350</v>
      </c>
      <c r="E691" s="444" t="s">
        <v>1153</v>
      </c>
      <c r="F691" s="454">
        <v>0.68</v>
      </c>
      <c r="G691" s="441" t="s">
        <v>1195</v>
      </c>
      <c r="H691" s="441" t="s">
        <v>1341</v>
      </c>
      <c r="I691" s="441" t="s">
        <v>1342</v>
      </c>
      <c r="J691" s="441" t="b">
        <f t="shared" si="16"/>
        <v>0</v>
      </c>
    </row>
    <row r="692" spans="1:10" hidden="1" x14ac:dyDescent="0.25">
      <c r="A692" s="441" t="str">
        <f t="shared" si="15"/>
        <v>Residential_Building Shell_Wall Insulation (Electric Heat)_Delta_kW</v>
      </c>
      <c r="B692" t="s">
        <v>1095</v>
      </c>
      <c r="C692" t="s">
        <v>1099</v>
      </c>
      <c r="D692" t="s">
        <v>1350</v>
      </c>
      <c r="E692" s="442" t="s">
        <v>1155</v>
      </c>
      <c r="F692" s="453" t="e">
        <f>(F669/F690)*F691</f>
        <v>#DIV/0!</v>
      </c>
      <c r="H692" s="441" t="s">
        <v>1341</v>
      </c>
      <c r="I692" s="441" t="s">
        <v>1342</v>
      </c>
      <c r="J692" s="441" t="b">
        <f t="shared" si="16"/>
        <v>1</v>
      </c>
    </row>
    <row r="693" spans="1:10" hidden="1" x14ac:dyDescent="0.25">
      <c r="A693" s="441" t="str">
        <f t="shared" si="15"/>
        <v>Residential_Building Shell_Wall Insulation (Electric Heat)_Delta_kW_Mid-Life_Adj</v>
      </c>
      <c r="B693" t="s">
        <v>1095</v>
      </c>
      <c r="C693" t="s">
        <v>1099</v>
      </c>
      <c r="D693" t="s">
        <v>1350</v>
      </c>
      <c r="E693" s="442" t="s">
        <v>1318</v>
      </c>
      <c r="F693" s="453" t="e">
        <f>(F670/F690)*F691</f>
        <v>#DIV/0!</v>
      </c>
      <c r="H693" s="441" t="s">
        <v>1341</v>
      </c>
      <c r="I693" s="441" t="s">
        <v>1342</v>
      </c>
      <c r="J693" s="441" t="b">
        <f t="shared" si="16"/>
        <v>1</v>
      </c>
    </row>
    <row r="694" spans="1:10" hidden="1" x14ac:dyDescent="0.25">
      <c r="A694" s="441" t="str">
        <f t="shared" si="15"/>
        <v>Residential_Building Shell_Wall Insulation (Electric Heat)_R_old</v>
      </c>
      <c r="B694" t="s">
        <v>1095</v>
      </c>
      <c r="C694" t="s">
        <v>1099</v>
      </c>
      <c r="D694" t="s">
        <v>1350</v>
      </c>
      <c r="E694" s="444" t="s">
        <v>1328</v>
      </c>
      <c r="F694" s="454">
        <f>[18]Dashboard_FS!$O$19</f>
        <v>1</v>
      </c>
      <c r="G694" s="441" t="s">
        <v>1351</v>
      </c>
      <c r="H694" s="441" t="s">
        <v>1341</v>
      </c>
      <c r="I694" s="441" t="s">
        <v>1342</v>
      </c>
      <c r="J694" s="441" t="b">
        <f t="shared" si="16"/>
        <v>1</v>
      </c>
    </row>
    <row r="695" spans="1:10" hidden="1" x14ac:dyDescent="0.25">
      <c r="A695" s="441" t="str">
        <f t="shared" si="15"/>
        <v>Residential_Building Shell_Wall Insulation (Electric Heat)_R_wall</v>
      </c>
      <c r="B695" t="s">
        <v>1095</v>
      </c>
      <c r="C695" t="s">
        <v>1099</v>
      </c>
      <c r="D695" t="s">
        <v>1350</v>
      </c>
      <c r="E695" s="444" t="s">
        <v>1343</v>
      </c>
      <c r="F695" s="454">
        <f>[18]Dashboard_FS!$P$19</f>
        <v>0</v>
      </c>
      <c r="H695" s="441" t="s">
        <v>1341</v>
      </c>
      <c r="I695" s="441" t="s">
        <v>1342</v>
      </c>
      <c r="J695" s="441" t="b">
        <f t="shared" si="16"/>
        <v>1</v>
      </c>
    </row>
    <row r="696" spans="1:10" hidden="1" x14ac:dyDescent="0.25">
      <c r="A696" s="441" t="str">
        <f t="shared" ref="A696:A759" si="17">B696&amp;"_"&amp;C696&amp;"_"&amp;D696&amp;"_"&amp;E696</f>
        <v>Residential_Building Shell_Wall Insulation (Electric Heat)_A_wall</v>
      </c>
      <c r="B696" t="s">
        <v>1095</v>
      </c>
      <c r="C696" t="s">
        <v>1099</v>
      </c>
      <c r="D696" t="s">
        <v>1350</v>
      </c>
      <c r="E696" s="442" t="s">
        <v>1344</v>
      </c>
      <c r="F696" s="453">
        <f>[18]Dashboard_FS!$O$8</f>
        <v>0</v>
      </c>
      <c r="G696" s="441" t="s">
        <v>1289</v>
      </c>
      <c r="H696" s="441" t="s">
        <v>1341</v>
      </c>
      <c r="I696" s="441" t="s">
        <v>1342</v>
      </c>
      <c r="J696" s="441" t="b">
        <f t="shared" si="16"/>
        <v>1</v>
      </c>
    </row>
    <row r="697" spans="1:10" hidden="1" x14ac:dyDescent="0.25">
      <c r="A697" s="441" t="str">
        <f t="shared" si="17"/>
        <v>Residential_Building Shell_Wall Insulation (Electric Heat)_Framing_factor_wall</v>
      </c>
      <c r="B697" t="s">
        <v>1095</v>
      </c>
      <c r="C697" t="s">
        <v>1099</v>
      </c>
      <c r="D697" t="s">
        <v>1350</v>
      </c>
      <c r="E697" s="444" t="s">
        <v>1345</v>
      </c>
      <c r="F697" s="454">
        <v>0.25</v>
      </c>
      <c r="H697" s="441" t="s">
        <v>1341</v>
      </c>
      <c r="I697" s="441" t="s">
        <v>1342</v>
      </c>
      <c r="J697" s="441" t="b">
        <f t="shared" si="16"/>
        <v>0</v>
      </c>
    </row>
    <row r="698" spans="1:10" hidden="1" x14ac:dyDescent="0.25">
      <c r="A698" s="441" t="str">
        <f t="shared" si="17"/>
        <v>Residential_Building Shell_Wall Insulation (Electric Heat)_24</v>
      </c>
      <c r="B698" t="s">
        <v>1095</v>
      </c>
      <c r="C698" t="s">
        <v>1099</v>
      </c>
      <c r="D698" t="s">
        <v>1350</v>
      </c>
      <c r="E698" s="444">
        <v>24</v>
      </c>
      <c r="F698" s="454">
        <v>24</v>
      </c>
      <c r="H698" s="441" t="s">
        <v>1341</v>
      </c>
      <c r="I698" s="441" t="s">
        <v>1342</v>
      </c>
      <c r="J698" s="441" t="b">
        <f t="shared" si="16"/>
        <v>0</v>
      </c>
    </row>
    <row r="699" spans="1:10" hidden="1" x14ac:dyDescent="0.25">
      <c r="A699" s="441" t="str">
        <f t="shared" si="17"/>
        <v>Residential_Building Shell_Wall Insulation (Electric Heat)_HDD</v>
      </c>
      <c r="B699" t="s">
        <v>1095</v>
      </c>
      <c r="C699" t="s">
        <v>1099</v>
      </c>
      <c r="D699" t="s">
        <v>1350</v>
      </c>
      <c r="E699" s="444" t="s">
        <v>1308</v>
      </c>
      <c r="F699" s="464">
        <f>INDEX('[18]CZ Inputs'!G:G,MATCH(A699&amp;"_"&amp;[18]Dashboard_EE!$K$3,'[18]CZ Inputs'!A:A,0))</f>
        <v>4266</v>
      </c>
      <c r="G699" s="441" t="s">
        <v>1297</v>
      </c>
      <c r="H699" s="441" t="s">
        <v>1341</v>
      </c>
      <c r="I699" s="441" t="s">
        <v>1342</v>
      </c>
      <c r="J699" s="441" t="b">
        <f t="shared" si="16"/>
        <v>1</v>
      </c>
    </row>
    <row r="700" spans="1:10" hidden="1" x14ac:dyDescent="0.25">
      <c r="A700" s="441" t="str">
        <f t="shared" si="17"/>
        <v>Residential_Building Shell_Wall Insulation (Electric Heat)_ηHeat</v>
      </c>
      <c r="B700" t="s">
        <v>1095</v>
      </c>
      <c r="C700" t="s">
        <v>1099</v>
      </c>
      <c r="D700" t="s">
        <v>1350</v>
      </c>
      <c r="E700" s="442" t="s">
        <v>1309</v>
      </c>
      <c r="F700" s="453">
        <f>[18]Dashboard_FS!$K$8</f>
        <v>0</v>
      </c>
      <c r="G700" s="441" t="s">
        <v>1116</v>
      </c>
      <c r="H700" s="441" t="s">
        <v>1341</v>
      </c>
      <c r="I700" s="441" t="s">
        <v>1342</v>
      </c>
      <c r="J700" s="441" t="b">
        <f t="shared" si="16"/>
        <v>1</v>
      </c>
    </row>
    <row r="701" spans="1:10" hidden="1" x14ac:dyDescent="0.25">
      <c r="A701" s="441" t="str">
        <f t="shared" si="17"/>
        <v>Residential_Building Shell_Wall Insulation (Electric Heat)_ηHeat_Mid-Life_Adj</v>
      </c>
      <c r="B701" t="s">
        <v>1095</v>
      </c>
      <c r="C701" t="s">
        <v>1099</v>
      </c>
      <c r="D701" t="s">
        <v>1350</v>
      </c>
      <c r="E701" s="442" t="s">
        <v>1310</v>
      </c>
      <c r="F701" s="453">
        <f>[18]Dashboard_FS!$K$8</f>
        <v>0</v>
      </c>
      <c r="G701" s="441" t="s">
        <v>1116</v>
      </c>
      <c r="H701" s="441" t="s">
        <v>1341</v>
      </c>
      <c r="I701" s="441" t="s">
        <v>1342</v>
      </c>
      <c r="J701" s="441" t="b">
        <f t="shared" si="16"/>
        <v>1</v>
      </c>
    </row>
    <row r="702" spans="1:10" hidden="1" x14ac:dyDescent="0.25">
      <c r="A702" s="441" t="str">
        <f t="shared" si="17"/>
        <v>Residential_Building Shell_Wall Insulation (Electric Heat)_100000</v>
      </c>
      <c r="B702" t="s">
        <v>1095</v>
      </c>
      <c r="C702" t="s">
        <v>1099</v>
      </c>
      <c r="D702" t="s">
        <v>1350</v>
      </c>
      <c r="E702" s="444">
        <v>100000</v>
      </c>
      <c r="F702" s="454">
        <v>100000</v>
      </c>
      <c r="H702" s="441" t="s">
        <v>1341</v>
      </c>
      <c r="I702" s="441" t="s">
        <v>1342</v>
      </c>
      <c r="J702" s="441" t="b">
        <f t="shared" si="16"/>
        <v>0</v>
      </c>
    </row>
    <row r="703" spans="1:10" hidden="1" x14ac:dyDescent="0.25">
      <c r="A703" s="441" t="str">
        <f t="shared" si="17"/>
        <v>Residential_Building Shell_Wall Insulation (Electric Heat)_ADJWallHeat</v>
      </c>
      <c r="B703" t="s">
        <v>1095</v>
      </c>
      <c r="C703" t="s">
        <v>1099</v>
      </c>
      <c r="D703" t="s">
        <v>1350</v>
      </c>
      <c r="E703" s="444" t="s">
        <v>1347</v>
      </c>
      <c r="F703" s="454">
        <v>0.6</v>
      </c>
      <c r="H703" s="441" t="s">
        <v>1341</v>
      </c>
      <c r="I703" s="441" t="s">
        <v>1342</v>
      </c>
      <c r="J703" s="441" t="b">
        <f t="shared" si="16"/>
        <v>0</v>
      </c>
    </row>
    <row r="704" spans="1:10" hidden="1" x14ac:dyDescent="0.25">
      <c r="A704" s="441" t="str">
        <f t="shared" si="17"/>
        <v>Residential_Building Shell_Wall Insulation (Electric Heat)_%GasHeat</v>
      </c>
      <c r="B704" t="s">
        <v>1095</v>
      </c>
      <c r="C704" t="s">
        <v>1099</v>
      </c>
      <c r="D704" t="s">
        <v>1350</v>
      </c>
      <c r="E704" s="444" t="s">
        <v>1338</v>
      </c>
      <c r="F704" s="454">
        <v>0</v>
      </c>
      <c r="G704" s="441" t="s">
        <v>1311</v>
      </c>
      <c r="H704" s="441" t="s">
        <v>1341</v>
      </c>
      <c r="I704" s="441" t="s">
        <v>1342</v>
      </c>
      <c r="J704" s="441" t="b">
        <f t="shared" si="16"/>
        <v>0</v>
      </c>
    </row>
    <row r="705" spans="1:10" hidden="1" x14ac:dyDescent="0.25">
      <c r="A705" s="441" t="str">
        <f t="shared" si="17"/>
        <v>Residential_Building Shell_Wall Insulation (Electric Heat)_Delta_Therms</v>
      </c>
      <c r="B705" t="s">
        <v>1095</v>
      </c>
      <c r="C705" t="s">
        <v>1099</v>
      </c>
      <c r="D705" t="s">
        <v>1350</v>
      </c>
      <c r="E705" s="442" t="s">
        <v>1229</v>
      </c>
      <c r="F705" s="453" t="e">
        <f xml:space="preserve"> (((1/ F694 - 1/ F695) * F696 * (1 - F697) * F698 * F699) / (F700 * F702)) * F703 * F704</f>
        <v>#DIV/0!</v>
      </c>
      <c r="H705" s="441" t="s">
        <v>1341</v>
      </c>
      <c r="I705" s="441" t="s">
        <v>1342</v>
      </c>
      <c r="J705" s="441" t="b">
        <f t="shared" si="16"/>
        <v>1</v>
      </c>
    </row>
    <row r="706" spans="1:10" hidden="1" x14ac:dyDescent="0.25">
      <c r="A706" s="441" t="str">
        <f t="shared" si="17"/>
        <v>Residential_Building Shell_Wall Insulation (Electric Heat)_Delta_Therms_Mid-Life_Adj</v>
      </c>
      <c r="B706" t="s">
        <v>1095</v>
      </c>
      <c r="C706" t="s">
        <v>1099</v>
      </c>
      <c r="D706" t="s">
        <v>1350</v>
      </c>
      <c r="E706" s="442" t="s">
        <v>1348</v>
      </c>
      <c r="F706" s="453" t="e">
        <f xml:space="preserve"> (((1/ F694 - 1/ F695) * F696 * (1 - F697) * F698 * F699) / (F701 * F702)) * F703 * F704</f>
        <v>#DIV/0!</v>
      </c>
      <c r="H706" s="441" t="s">
        <v>1341</v>
      </c>
      <c r="I706" s="441" t="s">
        <v>1342</v>
      </c>
      <c r="J706" s="441" t="b">
        <f t="shared" si="16"/>
        <v>1</v>
      </c>
    </row>
    <row r="707" spans="1:10" hidden="1" x14ac:dyDescent="0.25">
      <c r="A707" s="441" t="str">
        <f t="shared" si="17"/>
        <v>Residential_Building Shell_Wall Insulation (Electric Heat)_Remaining Year kWh</v>
      </c>
      <c r="B707" t="s">
        <v>1095</v>
      </c>
      <c r="C707" t="s">
        <v>1099</v>
      </c>
      <c r="D707" t="s">
        <v>1350</v>
      </c>
      <c r="E707" s="450" t="s">
        <v>1322</v>
      </c>
      <c r="F707" s="456" t="e">
        <f>F669+F682+F688</f>
        <v>#DIV/0!</v>
      </c>
      <c r="H707" s="441" t="s">
        <v>1341</v>
      </c>
      <c r="I707" s="441" t="s">
        <v>1342</v>
      </c>
      <c r="J707" s="441" t="b">
        <f t="shared" si="16"/>
        <v>1</v>
      </c>
    </row>
    <row r="708" spans="1:10" hidden="1" x14ac:dyDescent="0.25">
      <c r="A708" s="441" t="str">
        <f t="shared" si="17"/>
        <v>Residential_Building Shell_Wall Insulation (Electric Heat)_kWh Saved per Unit</v>
      </c>
      <c r="B708" t="s">
        <v>1095</v>
      </c>
      <c r="C708" t="s">
        <v>1099</v>
      </c>
      <c r="D708" t="s">
        <v>1350</v>
      </c>
      <c r="E708" s="450" t="s">
        <v>1156</v>
      </c>
      <c r="F708" s="456" t="e">
        <f>F670+F683+F689</f>
        <v>#DIV/0!</v>
      </c>
      <c r="H708" s="441" t="s">
        <v>1341</v>
      </c>
      <c r="I708" s="441" t="s">
        <v>1342</v>
      </c>
      <c r="J708" s="441" t="b">
        <f t="shared" si="16"/>
        <v>1</v>
      </c>
    </row>
    <row r="709" spans="1:10" hidden="1" x14ac:dyDescent="0.25">
      <c r="A709" s="441" t="str">
        <f t="shared" si="17"/>
        <v>Residential_Building Shell_Wall Insulation (Electric Heat)_Remaining Year kW</v>
      </c>
      <c r="B709" t="s">
        <v>1095</v>
      </c>
      <c r="C709" t="s">
        <v>1099</v>
      </c>
      <c r="D709" t="s">
        <v>1350</v>
      </c>
      <c r="E709" s="450" t="s">
        <v>1323</v>
      </c>
      <c r="F709" s="456" t="e">
        <f>F692</f>
        <v>#DIV/0!</v>
      </c>
      <c r="H709" s="441" t="s">
        <v>1341</v>
      </c>
      <c r="I709" s="441" t="s">
        <v>1342</v>
      </c>
      <c r="J709" s="441" t="b">
        <f t="shared" si="16"/>
        <v>1</v>
      </c>
    </row>
    <row r="710" spans="1:10" hidden="1" x14ac:dyDescent="0.25">
      <c r="A710" s="441" t="str">
        <f t="shared" si="17"/>
        <v>Residential_Building Shell_Wall Insulation (Electric Heat)_Coincident Peak kW Saved per Unit</v>
      </c>
      <c r="B710" t="s">
        <v>1095</v>
      </c>
      <c r="C710" t="s">
        <v>1099</v>
      </c>
      <c r="D710" t="s">
        <v>1350</v>
      </c>
      <c r="E710" s="450" t="s">
        <v>1157</v>
      </c>
      <c r="F710" s="456" t="e">
        <f>F693</f>
        <v>#DIV/0!</v>
      </c>
      <c r="H710" s="441" t="s">
        <v>1341</v>
      </c>
      <c r="I710" s="441" t="s">
        <v>1342</v>
      </c>
      <c r="J710" s="441" t="b">
        <f t="shared" si="16"/>
        <v>1</v>
      </c>
    </row>
    <row r="711" spans="1:10" hidden="1" x14ac:dyDescent="0.25">
      <c r="A711" s="441" t="str">
        <f t="shared" si="17"/>
        <v>Residential_Building Shell_Wall Insulation (Electric Heat)_Remaining Year Therms</v>
      </c>
      <c r="B711" t="s">
        <v>1095</v>
      </c>
      <c r="C711" t="s">
        <v>1099</v>
      </c>
      <c r="D711" t="s">
        <v>1350</v>
      </c>
      <c r="E711" s="450" t="s">
        <v>1324</v>
      </c>
      <c r="F711" s="456" t="e">
        <f>F705</f>
        <v>#DIV/0!</v>
      </c>
      <c r="H711" s="441" t="s">
        <v>1341</v>
      </c>
      <c r="I711" s="441" t="s">
        <v>1342</v>
      </c>
      <c r="J711" s="441" t="b">
        <f t="shared" si="16"/>
        <v>1</v>
      </c>
    </row>
    <row r="712" spans="1:10" hidden="1" x14ac:dyDescent="0.25">
      <c r="A712" s="441" t="str">
        <f t="shared" si="17"/>
        <v>Residential_Building Shell_Wall Insulation (Electric Heat)_Therms Saved per Unit</v>
      </c>
      <c r="B712" t="s">
        <v>1095</v>
      </c>
      <c r="C712" t="s">
        <v>1099</v>
      </c>
      <c r="D712" t="s">
        <v>1350</v>
      </c>
      <c r="E712" s="450" t="s">
        <v>1251</v>
      </c>
      <c r="F712" s="456" t="e">
        <f>F706</f>
        <v>#DIV/0!</v>
      </c>
      <c r="H712" s="441" t="s">
        <v>1341</v>
      </c>
      <c r="I712" s="441" t="s">
        <v>1342</v>
      </c>
      <c r="J712" s="441" t="b">
        <f t="shared" si="16"/>
        <v>1</v>
      </c>
    </row>
    <row r="713" spans="1:10" hidden="1" x14ac:dyDescent="0.25">
      <c r="A713" s="441" t="str">
        <f t="shared" si="17"/>
        <v>Residential_Building Shell_Wall Insulation (Electric Heat)_Remaining Life</v>
      </c>
      <c r="B713" t="s">
        <v>1095</v>
      </c>
      <c r="C713" t="s">
        <v>1099</v>
      </c>
      <c r="D713" t="s">
        <v>1350</v>
      </c>
      <c r="E713" s="450" t="s">
        <v>1325</v>
      </c>
      <c r="F713" s="456">
        <v>10</v>
      </c>
      <c r="H713" s="441" t="s">
        <v>1341</v>
      </c>
      <c r="I713" s="441" t="s">
        <v>1342</v>
      </c>
      <c r="J713" s="441" t="b">
        <f t="shared" ref="J713:J782" si="18">_xlfn.ISFORMULA(F713)</f>
        <v>0</v>
      </c>
    </row>
    <row r="714" spans="1:10" hidden="1" x14ac:dyDescent="0.25">
      <c r="A714" s="441" t="str">
        <f t="shared" si="17"/>
        <v>Residential_Building Shell_Wall Insulation (Electric Heat)_Lifetime (years)</v>
      </c>
      <c r="B714" t="s">
        <v>1095</v>
      </c>
      <c r="C714" t="s">
        <v>1099</v>
      </c>
      <c r="D714" t="s">
        <v>1350</v>
      </c>
      <c r="E714" s="450" t="s">
        <v>1160</v>
      </c>
      <c r="F714" s="457">
        <v>30</v>
      </c>
      <c r="H714" s="441" t="s">
        <v>1341</v>
      </c>
      <c r="I714" s="441" t="s">
        <v>1342</v>
      </c>
      <c r="J714" s="441" t="b">
        <f t="shared" si="18"/>
        <v>0</v>
      </c>
    </row>
    <row r="715" spans="1:10" hidden="1" x14ac:dyDescent="0.25">
      <c r="A715" s="441" t="str">
        <f t="shared" si="17"/>
        <v>Residential_Building Shell_Wall Insulation (Electric Heat)_Incremental Cost</v>
      </c>
      <c r="B715" t="s">
        <v>1095</v>
      </c>
      <c r="C715" t="s">
        <v>1099</v>
      </c>
      <c r="D715" t="s">
        <v>1350</v>
      </c>
      <c r="E715" s="450" t="s">
        <v>1161</v>
      </c>
      <c r="F715" s="452">
        <f>0.9*F659</f>
        <v>0</v>
      </c>
      <c r="G715" s="441" t="s">
        <v>1326</v>
      </c>
      <c r="H715" s="441" t="s">
        <v>1341</v>
      </c>
      <c r="I715" s="441" t="s">
        <v>1342</v>
      </c>
      <c r="J715" s="441" t="b">
        <f t="shared" si="18"/>
        <v>1</v>
      </c>
    </row>
    <row r="716" spans="1:10" hidden="1" x14ac:dyDescent="0.25">
      <c r="A716" s="441" t="str">
        <f t="shared" si="17"/>
        <v>Residential_Building Shell_Wall Insulation (Electric Heat)_BTU Impact_Existing_Fossil Fuel</v>
      </c>
      <c r="B716" t="s">
        <v>1095</v>
      </c>
      <c r="C716" t="s">
        <v>1099</v>
      </c>
      <c r="D716" t="s">
        <v>1350</v>
      </c>
      <c r="E716" s="450" t="s">
        <v>1163</v>
      </c>
      <c r="F716" s="451">
        <v>0</v>
      </c>
      <c r="H716" s="441" t="s">
        <v>1341</v>
      </c>
      <c r="I716" s="441" t="s">
        <v>1342</v>
      </c>
      <c r="J716" s="441" t="b">
        <f t="shared" si="18"/>
        <v>0</v>
      </c>
    </row>
    <row r="717" spans="1:10" hidden="1" x14ac:dyDescent="0.25">
      <c r="A717" s="441" t="str">
        <f t="shared" si="17"/>
        <v>Residential_Building Shell_Wall Insulation (Electric Heat)_BTU Impact_Existing_Winter Electricity</v>
      </c>
      <c r="B717" t="s">
        <v>1095</v>
      </c>
      <c r="C717" t="s">
        <v>1099</v>
      </c>
      <c r="D717" t="s">
        <v>1350</v>
      </c>
      <c r="E717" s="450" t="s">
        <v>1164</v>
      </c>
      <c r="F717" s="451">
        <v>0</v>
      </c>
      <c r="H717" s="441" t="s">
        <v>1341</v>
      </c>
      <c r="I717" s="441" t="s">
        <v>1342</v>
      </c>
      <c r="J717" s="441" t="b">
        <f t="shared" si="18"/>
        <v>0</v>
      </c>
    </row>
    <row r="718" spans="1:10" hidden="1" x14ac:dyDescent="0.25">
      <c r="A718" s="441" t="str">
        <f t="shared" si="17"/>
        <v>Residential_Building Shell_Wall Insulation (Electric Heat)_BTU Impact_Existing_Summer Electricity</v>
      </c>
      <c r="B718" t="s">
        <v>1095</v>
      </c>
      <c r="C718" t="s">
        <v>1099</v>
      </c>
      <c r="D718" t="s">
        <v>1350</v>
      </c>
      <c r="E718" s="450" t="s">
        <v>1165</v>
      </c>
      <c r="F718" s="451">
        <v>0</v>
      </c>
      <c r="H718" s="441" t="s">
        <v>1341</v>
      </c>
      <c r="I718" s="441" t="s">
        <v>1342</v>
      </c>
      <c r="J718" s="441" t="b">
        <f t="shared" si="18"/>
        <v>0</v>
      </c>
    </row>
    <row r="719" spans="1:10" hidden="1" x14ac:dyDescent="0.25">
      <c r="A719" s="441" t="str">
        <f t="shared" si="17"/>
        <v>Residential_Building Shell_Wall Insulation (Electric Heat)_BTU Impact_New_Fossil Fuel</v>
      </c>
      <c r="B719" t="s">
        <v>1095</v>
      </c>
      <c r="C719" t="s">
        <v>1099</v>
      </c>
      <c r="D719" t="s">
        <v>1350</v>
      </c>
      <c r="E719" s="450" t="s">
        <v>1166</v>
      </c>
      <c r="F719" s="451">
        <v>0</v>
      </c>
      <c r="H719" s="441" t="s">
        <v>1341</v>
      </c>
      <c r="I719" s="441" t="s">
        <v>1342</v>
      </c>
      <c r="J719" s="441" t="b">
        <f t="shared" si="18"/>
        <v>0</v>
      </c>
    </row>
    <row r="720" spans="1:10" hidden="1" x14ac:dyDescent="0.25">
      <c r="A720" s="441" t="str">
        <f t="shared" si="17"/>
        <v>Residential_Building Shell_Wall Insulation (Electric Heat)_BTU Impact_New_Winter Electricity</v>
      </c>
      <c r="B720" t="s">
        <v>1095</v>
      </c>
      <c r="C720" t="s">
        <v>1099</v>
      </c>
      <c r="D720" t="s">
        <v>1350</v>
      </c>
      <c r="E720" s="450" t="s">
        <v>1167</v>
      </c>
      <c r="F720" s="451" t="e">
        <f>-F682*3412</f>
        <v>#DIV/0!</v>
      </c>
      <c r="H720" s="441" t="s">
        <v>1341</v>
      </c>
      <c r="I720" s="441" t="s">
        <v>1342</v>
      </c>
      <c r="J720" s="441" t="b">
        <f t="shared" si="18"/>
        <v>1</v>
      </c>
    </row>
    <row r="721" spans="1:10" hidden="1" x14ac:dyDescent="0.25">
      <c r="A721" s="441" t="str">
        <f t="shared" si="17"/>
        <v>Residential_Building Shell_Wall Insulation (Electric Heat)_BTU Impact_New_Summer Electricity</v>
      </c>
      <c r="B721" t="s">
        <v>1095</v>
      </c>
      <c r="C721" t="s">
        <v>1099</v>
      </c>
      <c r="D721" t="s">
        <v>1350</v>
      </c>
      <c r="E721" s="450" t="s">
        <v>1168</v>
      </c>
      <c r="F721" s="451" t="e">
        <f>-F669*3412</f>
        <v>#DIV/0!</v>
      </c>
      <c r="H721" s="441" t="s">
        <v>1341</v>
      </c>
      <c r="I721" s="441" t="s">
        <v>1342</v>
      </c>
      <c r="J721" s="441" t="b">
        <f t="shared" si="18"/>
        <v>1</v>
      </c>
    </row>
    <row r="722" spans="1:10" hidden="1" x14ac:dyDescent="0.25">
      <c r="A722" s="441" t="str">
        <f t="shared" si="17"/>
        <v>Residential_Building Shell_Wall Insulation (Electric Heat)_</v>
      </c>
      <c r="B722" t="s">
        <v>1095</v>
      </c>
      <c r="C722" t="s">
        <v>1099</v>
      </c>
      <c r="D722" t="s">
        <v>1350</v>
      </c>
      <c r="H722" s="441" t="s">
        <v>1341</v>
      </c>
      <c r="I722" s="441" t="s">
        <v>1342</v>
      </c>
      <c r="J722" s="441" t="b">
        <f t="shared" si="18"/>
        <v>0</v>
      </c>
    </row>
    <row r="723" spans="1:10" hidden="1" x14ac:dyDescent="0.25">
      <c r="A723" s="441" t="str">
        <f t="shared" si="17"/>
        <v>Residential_Building Shell_Rim/Band Joist Insulation (Electric Heat)_R_old</v>
      </c>
      <c r="B723" t="s">
        <v>1095</v>
      </c>
      <c r="C723" t="s">
        <v>1099</v>
      </c>
      <c r="D723" t="s">
        <v>1352</v>
      </c>
      <c r="E723" s="444" t="s">
        <v>1328</v>
      </c>
      <c r="F723" s="454">
        <f>[18]Dashboard_FS!$O$20</f>
        <v>1</v>
      </c>
      <c r="G723" s="441" t="s">
        <v>1351</v>
      </c>
      <c r="H723" s="441" t="s">
        <v>1353</v>
      </c>
      <c r="I723" s="441" t="s">
        <v>1354</v>
      </c>
      <c r="J723" s="441" t="b">
        <f t="shared" si="18"/>
        <v>1</v>
      </c>
    </row>
    <row r="724" spans="1:10" hidden="1" x14ac:dyDescent="0.25">
      <c r="A724" s="441" t="str">
        <f t="shared" si="17"/>
        <v>Residential_Building Shell_Rim/Band Joist Insulation (Electric Heat)_R_rim</v>
      </c>
      <c r="B724" t="s">
        <v>1095</v>
      </c>
      <c r="C724" t="s">
        <v>1099</v>
      </c>
      <c r="D724" t="s">
        <v>1352</v>
      </c>
      <c r="E724" s="444" t="s">
        <v>1355</v>
      </c>
      <c r="F724" s="454">
        <f>[18]Dashboard_FS!$P$20</f>
        <v>0</v>
      </c>
      <c r="H724" s="441" t="s">
        <v>1353</v>
      </c>
      <c r="I724" s="441" t="s">
        <v>1354</v>
      </c>
      <c r="J724" s="441" t="b">
        <f t="shared" si="18"/>
        <v>1</v>
      </c>
    </row>
    <row r="725" spans="1:10" hidden="1" x14ac:dyDescent="0.25">
      <c r="A725" s="441" t="str">
        <f t="shared" si="17"/>
        <v>Residential_Building Shell_Rim/Band Joist Insulation (Electric Heat)_A_rim</v>
      </c>
      <c r="B725" t="s">
        <v>1095</v>
      </c>
      <c r="C725" t="s">
        <v>1099</v>
      </c>
      <c r="D725" t="s">
        <v>1352</v>
      </c>
      <c r="E725" s="442" t="s">
        <v>1356</v>
      </c>
      <c r="F725" s="453">
        <f>[18]Dashboard_FS!$O$9</f>
        <v>0</v>
      </c>
      <c r="G725" s="441" t="s">
        <v>1289</v>
      </c>
      <c r="H725" s="441" t="s">
        <v>1353</v>
      </c>
      <c r="I725" s="441" t="s">
        <v>1354</v>
      </c>
      <c r="J725" s="441" t="b">
        <f t="shared" si="18"/>
        <v>1</v>
      </c>
    </row>
    <row r="726" spans="1:10" hidden="1" x14ac:dyDescent="0.25">
      <c r="A726" s="441" t="str">
        <f t="shared" si="17"/>
        <v>Residential_Building Shell_Rim/Band Joist Insulation (Electric Heat)_Framing_factor_rim</v>
      </c>
      <c r="B726" t="s">
        <v>1095</v>
      </c>
      <c r="C726" t="s">
        <v>1099</v>
      </c>
      <c r="D726" t="s">
        <v>1352</v>
      </c>
      <c r="E726" s="444" t="s">
        <v>1357</v>
      </c>
      <c r="F726" s="454">
        <v>0.05</v>
      </c>
      <c r="H726" s="441" t="s">
        <v>1353</v>
      </c>
      <c r="I726" s="441" t="s">
        <v>1354</v>
      </c>
      <c r="J726" s="441" t="b">
        <f t="shared" si="18"/>
        <v>0</v>
      </c>
    </row>
    <row r="727" spans="1:10" hidden="1" x14ac:dyDescent="0.25">
      <c r="A727" s="441" t="str">
        <f t="shared" si="17"/>
        <v>Residential_Building Shell_Rim/Band Joist Insulation (Electric Heat)_CDD</v>
      </c>
      <c r="B727" t="s">
        <v>1095</v>
      </c>
      <c r="C727" t="s">
        <v>1099</v>
      </c>
      <c r="D727" t="s">
        <v>1352</v>
      </c>
      <c r="E727" s="444" t="s">
        <v>1296</v>
      </c>
      <c r="F727" s="464">
        <f>INDEX('[18]CZ Inputs'!G:G,MATCH(A727&amp;"_"&amp;[18]Dashboard_EE!$K$3,'[18]CZ Inputs'!A:A,0))</f>
        <v>448</v>
      </c>
      <c r="G727" s="441" t="s">
        <v>1358</v>
      </c>
      <c r="H727" s="441" t="s">
        <v>1353</v>
      </c>
      <c r="I727" s="441" t="s">
        <v>1354</v>
      </c>
      <c r="J727" s="441" t="b">
        <f t="shared" si="18"/>
        <v>1</v>
      </c>
    </row>
    <row r="728" spans="1:10" hidden="1" x14ac:dyDescent="0.25">
      <c r="A728" s="441" t="str">
        <f t="shared" si="17"/>
        <v>Residential_Building Shell_Rim/Band Joist Insulation (Electric Heat)_24</v>
      </c>
      <c r="B728" t="s">
        <v>1095</v>
      </c>
      <c r="C728" t="s">
        <v>1099</v>
      </c>
      <c r="D728" t="s">
        <v>1352</v>
      </c>
      <c r="E728" s="444">
        <v>24</v>
      </c>
      <c r="F728" s="454">
        <v>24</v>
      </c>
      <c r="H728" s="441" t="s">
        <v>1353</v>
      </c>
      <c r="I728" s="441" t="s">
        <v>1354</v>
      </c>
      <c r="J728" s="441" t="b">
        <f t="shared" si="18"/>
        <v>0</v>
      </c>
    </row>
    <row r="729" spans="1:10" hidden="1" x14ac:dyDescent="0.25">
      <c r="A729" s="441" t="str">
        <f t="shared" si="17"/>
        <v>Residential_Building Shell_Rim/Band Joist Insulation (Electric Heat)_DUA</v>
      </c>
      <c r="B729" t="s">
        <v>1095</v>
      </c>
      <c r="C729" t="s">
        <v>1099</v>
      </c>
      <c r="D729" t="s">
        <v>1352</v>
      </c>
      <c r="E729" s="444" t="s">
        <v>1298</v>
      </c>
      <c r="F729" s="454">
        <v>0.75</v>
      </c>
      <c r="H729" s="441" t="s">
        <v>1353</v>
      </c>
      <c r="I729" s="441" t="s">
        <v>1354</v>
      </c>
      <c r="J729" s="441" t="b">
        <f t="shared" si="18"/>
        <v>0</v>
      </c>
    </row>
    <row r="730" spans="1:10" hidden="1" x14ac:dyDescent="0.25">
      <c r="A730" s="441" t="str">
        <f t="shared" si="17"/>
        <v>Residential_Building Shell_Rim/Band Joist Insulation (Electric Heat)_ADJBasementCool</v>
      </c>
      <c r="B730" t="s">
        <v>1095</v>
      </c>
      <c r="C730" t="s">
        <v>1099</v>
      </c>
      <c r="D730" t="s">
        <v>1352</v>
      </c>
      <c r="E730" s="444" t="s">
        <v>1359</v>
      </c>
      <c r="F730" s="464">
        <v>0.75</v>
      </c>
      <c r="H730" s="441" t="s">
        <v>1353</v>
      </c>
      <c r="I730" s="441" t="s">
        <v>1354</v>
      </c>
      <c r="J730" s="441" t="b">
        <f t="shared" si="18"/>
        <v>0</v>
      </c>
    </row>
    <row r="731" spans="1:10" hidden="1" x14ac:dyDescent="0.25">
      <c r="A731" s="441" t="str">
        <f t="shared" si="17"/>
        <v>Residential_Building Shell_Rim/Band Joist Insulation (Electric Heat)_%Cool</v>
      </c>
      <c r="B731" t="s">
        <v>1095</v>
      </c>
      <c r="C731" t="s">
        <v>1099</v>
      </c>
      <c r="D731" t="s">
        <v>1352</v>
      </c>
      <c r="E731" s="444" t="s">
        <v>1272</v>
      </c>
      <c r="F731" s="454">
        <v>1</v>
      </c>
      <c r="H731" s="441" t="s">
        <v>1353</v>
      </c>
      <c r="I731" s="441" t="s">
        <v>1354</v>
      </c>
      <c r="J731" s="441" t="b">
        <f t="shared" si="18"/>
        <v>0</v>
      </c>
    </row>
    <row r="732" spans="1:10" hidden="1" x14ac:dyDescent="0.25">
      <c r="A732" s="441" t="str">
        <f t="shared" si="17"/>
        <v>Residential_Building Shell_Rim/Band Joist Insulation (Electric Heat)_1000</v>
      </c>
      <c r="B732" t="s">
        <v>1095</v>
      </c>
      <c r="C732" t="s">
        <v>1099</v>
      </c>
      <c r="D732" t="s">
        <v>1352</v>
      </c>
      <c r="E732" s="444">
        <v>1000</v>
      </c>
      <c r="F732" s="454">
        <v>1000</v>
      </c>
      <c r="H732" s="441" t="s">
        <v>1353</v>
      </c>
      <c r="I732" s="441" t="s">
        <v>1354</v>
      </c>
      <c r="J732" s="441" t="b">
        <f t="shared" si="18"/>
        <v>0</v>
      </c>
    </row>
    <row r="733" spans="1:10" hidden="1" x14ac:dyDescent="0.25">
      <c r="A733" s="441" t="str">
        <f t="shared" si="17"/>
        <v>Residential_Building Shell_Rim/Band Joist Insulation (Electric Heat)_ηCool</v>
      </c>
      <c r="B733" t="s">
        <v>1095</v>
      </c>
      <c r="C733" t="s">
        <v>1099</v>
      </c>
      <c r="D733" t="s">
        <v>1352</v>
      </c>
      <c r="E733" s="442" t="s">
        <v>1299</v>
      </c>
      <c r="F733" s="453">
        <f>[18]Dashboard_FS!$K$14</f>
        <v>0</v>
      </c>
      <c r="G733" s="441" t="s">
        <v>1116</v>
      </c>
      <c r="H733" s="441" t="s">
        <v>1353</v>
      </c>
      <c r="I733" s="441" t="s">
        <v>1354</v>
      </c>
      <c r="J733" s="441" t="b">
        <f t="shared" si="18"/>
        <v>1</v>
      </c>
    </row>
    <row r="734" spans="1:10" hidden="1" x14ac:dyDescent="0.25">
      <c r="A734" s="441" t="str">
        <f t="shared" si="17"/>
        <v>Residential_Building Shell_Rim/Band Joist Insulation (Electric Heat)_ηCool_Mid-Life_Adj</v>
      </c>
      <c r="B734" t="s">
        <v>1095</v>
      </c>
      <c r="C734" t="s">
        <v>1099</v>
      </c>
      <c r="D734" t="s">
        <v>1352</v>
      </c>
      <c r="E734" s="442" t="s">
        <v>1300</v>
      </c>
      <c r="F734" s="453">
        <f>[18]Dashboard_FS!$K$14</f>
        <v>0</v>
      </c>
      <c r="G734" s="441" t="s">
        <v>1116</v>
      </c>
      <c r="H734" s="441" t="s">
        <v>1353</v>
      </c>
      <c r="I734" s="441" t="s">
        <v>1354</v>
      </c>
      <c r="J734" s="441" t="b">
        <f t="shared" si="18"/>
        <v>1</v>
      </c>
    </row>
    <row r="735" spans="1:10" hidden="1" x14ac:dyDescent="0.25">
      <c r="A735" s="441" t="str">
        <f t="shared" si="17"/>
        <v>Residential_Building Shell_Rim/Band Joist Insulation (Electric Heat)_Delta_kWh_cooling</v>
      </c>
      <c r="B735" t="s">
        <v>1095</v>
      </c>
      <c r="C735" t="s">
        <v>1099</v>
      </c>
      <c r="D735" t="s">
        <v>1352</v>
      </c>
      <c r="E735" s="442" t="s">
        <v>1305</v>
      </c>
      <c r="F735" s="453" t="e">
        <f xml:space="preserve"> ((1/ F723 - 1/ F724) * F725 * (1 - F726) * F727 * F728 * F729 * F730 * F731) / (F732 * F733)</f>
        <v>#DIV/0!</v>
      </c>
      <c r="H735" s="441" t="s">
        <v>1353</v>
      </c>
      <c r="I735" s="441" t="s">
        <v>1354</v>
      </c>
      <c r="J735" s="441" t="b">
        <f t="shared" si="18"/>
        <v>1</v>
      </c>
    </row>
    <row r="736" spans="1:10" hidden="1" x14ac:dyDescent="0.25">
      <c r="A736" s="441" t="str">
        <f t="shared" si="17"/>
        <v>Residential_Building Shell_Rim/Band Joist Insulation (Electric Heat)_Delta_kWh_cooling_Mid-Life_Adj</v>
      </c>
      <c r="B736" t="s">
        <v>1095</v>
      </c>
      <c r="C736" t="s">
        <v>1099</v>
      </c>
      <c r="D736" t="s">
        <v>1352</v>
      </c>
      <c r="E736" s="442" t="s">
        <v>1306</v>
      </c>
      <c r="F736" s="453" t="e">
        <f xml:space="preserve"> ((1/ F723 - 1/ F724) * F725 * (1 - F726) * F727 * F728 * F729 * F730 * F731) / (F732 * F734)</f>
        <v>#DIV/0!</v>
      </c>
      <c r="H736" s="441" t="s">
        <v>1353</v>
      </c>
      <c r="I736" s="441" t="s">
        <v>1354</v>
      </c>
      <c r="J736" s="441" t="b">
        <f t="shared" si="18"/>
        <v>1</v>
      </c>
    </row>
    <row r="737" spans="1:10" hidden="1" x14ac:dyDescent="0.25">
      <c r="A737" s="441" t="str">
        <f t="shared" si="17"/>
        <v>Residential_Building Shell_Rim/Band Joist Insulation (Electric Heat)_R_old</v>
      </c>
      <c r="B737" t="s">
        <v>1095</v>
      </c>
      <c r="C737" t="s">
        <v>1099</v>
      </c>
      <c r="D737" t="s">
        <v>1352</v>
      </c>
      <c r="E737" s="444" t="s">
        <v>1328</v>
      </c>
      <c r="F737" s="454">
        <f>[18]Dashboard_FS!$O$20</f>
        <v>1</v>
      </c>
      <c r="G737" s="441" t="s">
        <v>1351</v>
      </c>
      <c r="H737" s="441" t="s">
        <v>1353</v>
      </c>
      <c r="I737" s="441" t="s">
        <v>1354</v>
      </c>
      <c r="J737" s="441" t="b">
        <f t="shared" si="18"/>
        <v>1</v>
      </c>
    </row>
    <row r="738" spans="1:10" hidden="1" x14ac:dyDescent="0.25">
      <c r="A738" s="441" t="str">
        <f t="shared" si="17"/>
        <v>Residential_Building Shell_Rim/Band Joist Insulation (Electric Heat)_R_rim</v>
      </c>
      <c r="B738" t="s">
        <v>1095</v>
      </c>
      <c r="C738" t="s">
        <v>1099</v>
      </c>
      <c r="D738" t="s">
        <v>1352</v>
      </c>
      <c r="E738" s="444" t="s">
        <v>1355</v>
      </c>
      <c r="F738" s="454">
        <f>[18]Dashboard_FS!$P$20</f>
        <v>0</v>
      </c>
      <c r="H738" s="441" t="s">
        <v>1353</v>
      </c>
      <c r="I738" s="441" t="s">
        <v>1354</v>
      </c>
      <c r="J738" s="441" t="b">
        <f t="shared" si="18"/>
        <v>1</v>
      </c>
    </row>
    <row r="739" spans="1:10" hidden="1" x14ac:dyDescent="0.25">
      <c r="A739" s="441" t="str">
        <f t="shared" si="17"/>
        <v>Residential_Building Shell_Rim/Band Joist Insulation (Electric Heat)_A_rim</v>
      </c>
      <c r="B739" t="s">
        <v>1095</v>
      </c>
      <c r="C739" t="s">
        <v>1099</v>
      </c>
      <c r="D739" t="s">
        <v>1352</v>
      </c>
      <c r="E739" s="442" t="s">
        <v>1356</v>
      </c>
      <c r="F739" s="453">
        <f>[18]Dashboard_FS!$O$9</f>
        <v>0</v>
      </c>
      <c r="G739" s="441" t="s">
        <v>1289</v>
      </c>
      <c r="H739" s="441" t="s">
        <v>1353</v>
      </c>
      <c r="I739" s="441" t="s">
        <v>1354</v>
      </c>
      <c r="J739" s="441" t="b">
        <f t="shared" si="18"/>
        <v>1</v>
      </c>
    </row>
    <row r="740" spans="1:10" hidden="1" x14ac:dyDescent="0.25">
      <c r="A740" s="441" t="str">
        <f t="shared" si="17"/>
        <v>Residential_Building Shell_Rim/Band Joist Insulation (Electric Heat)_Framing_factor_rim</v>
      </c>
      <c r="B740" t="s">
        <v>1095</v>
      </c>
      <c r="C740" t="s">
        <v>1099</v>
      </c>
      <c r="D740" t="s">
        <v>1352</v>
      </c>
      <c r="E740" s="444" t="s">
        <v>1357</v>
      </c>
      <c r="F740" s="454">
        <v>0.05</v>
      </c>
      <c r="H740" s="441" t="s">
        <v>1353</v>
      </c>
      <c r="I740" s="441" t="s">
        <v>1354</v>
      </c>
      <c r="J740" s="441" t="b">
        <f t="shared" si="18"/>
        <v>0</v>
      </c>
    </row>
    <row r="741" spans="1:10" hidden="1" x14ac:dyDescent="0.25">
      <c r="A741" s="441" t="str">
        <f t="shared" si="17"/>
        <v>Residential_Building Shell_Rim/Band Joist Insulation (Electric Heat)_HDD</v>
      </c>
      <c r="B741" t="s">
        <v>1095</v>
      </c>
      <c r="C741" t="s">
        <v>1099</v>
      </c>
      <c r="D741" t="s">
        <v>1352</v>
      </c>
      <c r="E741" s="444" t="s">
        <v>1308</v>
      </c>
      <c r="F741" s="464">
        <f>INDEX('[18]CZ Inputs'!G:G,MATCH(A741&amp;"_"&amp;[18]Dashboard_EE!$K$3,'[18]CZ Inputs'!A:A,0))</f>
        <v>2456</v>
      </c>
      <c r="G741" s="441" t="s">
        <v>1358</v>
      </c>
      <c r="H741" s="441" t="s">
        <v>1353</v>
      </c>
      <c r="I741" s="441" t="s">
        <v>1354</v>
      </c>
      <c r="J741" s="441" t="b">
        <f t="shared" si="18"/>
        <v>1</v>
      </c>
    </row>
    <row r="742" spans="1:10" hidden="1" x14ac:dyDescent="0.25">
      <c r="A742" s="441" t="str">
        <f t="shared" si="17"/>
        <v>Residential_Building Shell_Rim/Band Joist Insulation (Electric Heat)_24</v>
      </c>
      <c r="B742" t="s">
        <v>1095</v>
      </c>
      <c r="C742" t="s">
        <v>1099</v>
      </c>
      <c r="D742" t="s">
        <v>1352</v>
      </c>
      <c r="E742" s="444">
        <v>24</v>
      </c>
      <c r="F742" s="454">
        <v>24</v>
      </c>
      <c r="H742" s="441" t="s">
        <v>1353</v>
      </c>
      <c r="I742" s="441" t="s">
        <v>1354</v>
      </c>
      <c r="J742" s="441" t="b">
        <f t="shared" si="18"/>
        <v>0</v>
      </c>
    </row>
    <row r="743" spans="1:10" hidden="1" x14ac:dyDescent="0.25">
      <c r="A743" s="441" t="str">
        <f t="shared" si="17"/>
        <v>Residential_Building Shell_Rim/Band Joist Insulation (Electric Heat)_ADJBasementHeat</v>
      </c>
      <c r="B743" t="s">
        <v>1095</v>
      </c>
      <c r="C743" t="s">
        <v>1099</v>
      </c>
      <c r="D743" t="s">
        <v>1352</v>
      </c>
      <c r="E743" s="444" t="s">
        <v>1360</v>
      </c>
      <c r="F743" s="464">
        <v>0.63</v>
      </c>
      <c r="H743" s="441" t="s">
        <v>1353</v>
      </c>
      <c r="I743" s="441" t="s">
        <v>1354</v>
      </c>
      <c r="J743" s="441" t="b">
        <f t="shared" si="18"/>
        <v>0</v>
      </c>
    </row>
    <row r="744" spans="1:10" hidden="1" x14ac:dyDescent="0.25">
      <c r="A744" s="441" t="str">
        <f t="shared" si="17"/>
        <v>Residential_Building Shell_Rim/Band Joist Insulation (Electric Heat)_%ElectricHeat</v>
      </c>
      <c r="B744" t="s">
        <v>1095</v>
      </c>
      <c r="C744" t="s">
        <v>1099</v>
      </c>
      <c r="D744" t="s">
        <v>1352</v>
      </c>
      <c r="E744" s="444" t="s">
        <v>1277</v>
      </c>
      <c r="F744" s="454">
        <v>1</v>
      </c>
      <c r="G744" s="441" t="s">
        <v>1311</v>
      </c>
      <c r="H744" s="441" t="s">
        <v>1353</v>
      </c>
      <c r="I744" s="441" t="s">
        <v>1354</v>
      </c>
      <c r="J744" s="441" t="b">
        <f t="shared" si="18"/>
        <v>0</v>
      </c>
    </row>
    <row r="745" spans="1:10" hidden="1" x14ac:dyDescent="0.25">
      <c r="A745" s="441" t="str">
        <f t="shared" si="17"/>
        <v>Residential_Building Shell_Rim/Band Joist Insulation (Electric Heat)_ηHeat</v>
      </c>
      <c r="B745" t="s">
        <v>1095</v>
      </c>
      <c r="C745" t="s">
        <v>1099</v>
      </c>
      <c r="D745" t="s">
        <v>1352</v>
      </c>
      <c r="E745" s="442" t="s">
        <v>1309</v>
      </c>
      <c r="F745" s="453">
        <f>[18]Dashboard_FS!$K$6</f>
        <v>0</v>
      </c>
      <c r="G745" s="441" t="s">
        <v>1116</v>
      </c>
      <c r="H745" s="441" t="s">
        <v>1353</v>
      </c>
      <c r="I745" s="441" t="s">
        <v>1354</v>
      </c>
      <c r="J745" s="441" t="b">
        <f t="shared" si="18"/>
        <v>1</v>
      </c>
    </row>
    <row r="746" spans="1:10" hidden="1" x14ac:dyDescent="0.25">
      <c r="A746" s="441" t="str">
        <f t="shared" si="17"/>
        <v>Residential_Building Shell_Rim/Band Joist Insulation (Electric Heat)_ηHeat_Mid-Life_Adj</v>
      </c>
      <c r="B746" t="s">
        <v>1095</v>
      </c>
      <c r="C746" t="s">
        <v>1099</v>
      </c>
      <c r="D746" t="s">
        <v>1352</v>
      </c>
      <c r="E746" s="442" t="s">
        <v>1310</v>
      </c>
      <c r="F746" s="453">
        <f>[18]Dashboard_FS!$K$6</f>
        <v>0</v>
      </c>
      <c r="G746" s="441" t="s">
        <v>1116</v>
      </c>
      <c r="H746" s="441" t="s">
        <v>1353</v>
      </c>
      <c r="I746" s="441" t="s">
        <v>1354</v>
      </c>
      <c r="J746" s="441" t="b">
        <f t="shared" si="18"/>
        <v>1</v>
      </c>
    </row>
    <row r="747" spans="1:10" hidden="1" x14ac:dyDescent="0.25">
      <c r="A747" s="441" t="str">
        <f t="shared" si="17"/>
        <v>Residential_Building Shell_Rim/Band Joist Insulation (Electric Heat)_3412</v>
      </c>
      <c r="B747" t="s">
        <v>1095</v>
      </c>
      <c r="C747" t="s">
        <v>1099</v>
      </c>
      <c r="D747" t="s">
        <v>1352</v>
      </c>
      <c r="E747" s="444">
        <v>3412</v>
      </c>
      <c r="F747" s="454">
        <v>3412</v>
      </c>
      <c r="H747" s="441" t="s">
        <v>1353</v>
      </c>
      <c r="I747" s="441" t="s">
        <v>1354</v>
      </c>
      <c r="J747" s="441" t="b">
        <f t="shared" si="18"/>
        <v>0</v>
      </c>
    </row>
    <row r="748" spans="1:10" hidden="1" x14ac:dyDescent="0.25">
      <c r="A748" s="441" t="str">
        <f t="shared" si="17"/>
        <v>Residential_Building Shell_Rim/Band Joist Insulation (Electric Heat)_Delta_kWh_heatingElectric</v>
      </c>
      <c r="B748" t="s">
        <v>1095</v>
      </c>
      <c r="C748" t="s">
        <v>1099</v>
      </c>
      <c r="D748" t="s">
        <v>1352</v>
      </c>
      <c r="E748" s="442" t="s">
        <v>1312</v>
      </c>
      <c r="F748" s="453" t="e">
        <f xml:space="preserve"> ((1/ F737 - 1/ F738) *F739 * (1 - F740) * F741 * F742 * F743 * F744) / (F745 * F747)</f>
        <v>#DIV/0!</v>
      </c>
      <c r="H748" s="441" t="s">
        <v>1353</v>
      </c>
      <c r="I748" s="441" t="s">
        <v>1354</v>
      </c>
      <c r="J748" s="441" t="b">
        <f t="shared" si="18"/>
        <v>1</v>
      </c>
    </row>
    <row r="749" spans="1:10" hidden="1" x14ac:dyDescent="0.25">
      <c r="A749" s="441" t="str">
        <f t="shared" si="17"/>
        <v>Residential_Building Shell_Rim/Band Joist Insulation (Electric Heat)_Delta_kWh_heatingElectric_Mid-Life_Adj</v>
      </c>
      <c r="B749" t="s">
        <v>1095</v>
      </c>
      <c r="C749" t="s">
        <v>1099</v>
      </c>
      <c r="D749" t="s">
        <v>1352</v>
      </c>
      <c r="E749" s="442" t="s">
        <v>1313</v>
      </c>
      <c r="F749" s="453" t="e">
        <f xml:space="preserve"> ((1/ F737 - 1/ F738) *F739 * (1 - F740) * F741 * F742 * F743 * F744) / (F746 * F747)</f>
        <v>#DIV/0!</v>
      </c>
      <c r="H749" s="441" t="s">
        <v>1353</v>
      </c>
      <c r="I749" s="441" t="s">
        <v>1354</v>
      </c>
      <c r="J749" s="441" t="b">
        <f t="shared" si="18"/>
        <v>1</v>
      </c>
    </row>
    <row r="750" spans="1:10" hidden="1" x14ac:dyDescent="0.25">
      <c r="A750" s="441" t="str">
        <f t="shared" si="17"/>
        <v>Residential_Building Shell_Rim/Band Joist Insulation (Electric Heat)_Delta_Therms</v>
      </c>
      <c r="B750" t="s">
        <v>1095</v>
      </c>
      <c r="C750" t="s">
        <v>1099</v>
      </c>
      <c r="D750" t="s">
        <v>1352</v>
      </c>
      <c r="E750" s="442" t="s">
        <v>1229</v>
      </c>
      <c r="F750" s="453" t="e">
        <f>F771</f>
        <v>#DIV/0!</v>
      </c>
      <c r="H750" s="441" t="s">
        <v>1353</v>
      </c>
      <c r="I750" s="441" t="s">
        <v>1354</v>
      </c>
      <c r="J750" s="441" t="b">
        <f t="shared" si="18"/>
        <v>1</v>
      </c>
    </row>
    <row r="751" spans="1:10" hidden="1" x14ac:dyDescent="0.25">
      <c r="A751" s="441" t="str">
        <f t="shared" si="17"/>
        <v>Residential_Building Shell_Rim/Band Joist Insulation (Electric Heat)_Delta_Therms_Mid-Life_Adj</v>
      </c>
      <c r="B751" t="s">
        <v>1095</v>
      </c>
      <c r="C751" t="s">
        <v>1099</v>
      </c>
      <c r="D751" t="s">
        <v>1352</v>
      </c>
      <c r="E751" s="442" t="s">
        <v>1348</v>
      </c>
      <c r="F751" s="453" t="e">
        <f>F772</f>
        <v>#DIV/0!</v>
      </c>
      <c r="H751" s="441" t="s">
        <v>1353</v>
      </c>
      <c r="I751" s="441" t="s">
        <v>1354</v>
      </c>
      <c r="J751" s="441" t="b">
        <f t="shared" si="18"/>
        <v>1</v>
      </c>
    </row>
    <row r="752" spans="1:10" hidden="1" x14ac:dyDescent="0.25">
      <c r="A752" s="441" t="str">
        <f t="shared" si="17"/>
        <v>Residential_Building Shell_Rim/Band Joist Insulation (Electric Heat)_Fe</v>
      </c>
      <c r="B752" t="s">
        <v>1095</v>
      </c>
      <c r="C752" t="s">
        <v>1099</v>
      </c>
      <c r="D752" t="s">
        <v>1352</v>
      </c>
      <c r="E752" s="444" t="s">
        <v>1127</v>
      </c>
      <c r="F752" s="454">
        <v>3.1399999999999997E-2</v>
      </c>
      <c r="H752" s="441" t="s">
        <v>1353</v>
      </c>
      <c r="I752" s="441" t="s">
        <v>1354</v>
      </c>
      <c r="J752" s="441" t="b">
        <f t="shared" si="18"/>
        <v>0</v>
      </c>
    </row>
    <row r="753" spans="1:10" hidden="1" x14ac:dyDescent="0.25">
      <c r="A753" s="441" t="str">
        <f t="shared" si="17"/>
        <v>Residential_Building Shell_Rim/Band Joist Insulation (Electric Heat)_29.3</v>
      </c>
      <c r="B753" t="s">
        <v>1095</v>
      </c>
      <c r="C753" t="s">
        <v>1099</v>
      </c>
      <c r="D753" t="s">
        <v>1352</v>
      </c>
      <c r="E753" s="444">
        <v>29.3</v>
      </c>
      <c r="F753" s="454">
        <v>29.3</v>
      </c>
      <c r="H753" s="441" t="s">
        <v>1353</v>
      </c>
      <c r="I753" s="441" t="s">
        <v>1354</v>
      </c>
      <c r="J753" s="441" t="b">
        <f t="shared" si="18"/>
        <v>0</v>
      </c>
    </row>
    <row r="754" spans="1:10" hidden="1" x14ac:dyDescent="0.25">
      <c r="A754" s="441" t="str">
        <f t="shared" si="17"/>
        <v>Residential_Building Shell_Rim/Band Joist Insulation (Electric Heat)_Delta_kWh_heatingGas</v>
      </c>
      <c r="B754" t="s">
        <v>1095</v>
      </c>
      <c r="C754" t="s">
        <v>1099</v>
      </c>
      <c r="D754" t="s">
        <v>1352</v>
      </c>
      <c r="E754" s="442" t="s">
        <v>1315</v>
      </c>
      <c r="F754" s="453" t="e">
        <f>F750*F752*F753</f>
        <v>#DIV/0!</v>
      </c>
      <c r="H754" s="441" t="s">
        <v>1353</v>
      </c>
      <c r="I754" s="441" t="s">
        <v>1354</v>
      </c>
      <c r="J754" s="441" t="b">
        <f t="shared" si="18"/>
        <v>1</v>
      </c>
    </row>
    <row r="755" spans="1:10" hidden="1" x14ac:dyDescent="0.25">
      <c r="A755" s="441" t="str">
        <f t="shared" si="17"/>
        <v>Residential_Building Shell_Rim/Band Joist Insulation (Electric Heat)_Delta_kWh_heatingGas_Mid-Life_Adj</v>
      </c>
      <c r="B755" t="s">
        <v>1095</v>
      </c>
      <c r="C755" t="s">
        <v>1099</v>
      </c>
      <c r="D755" t="s">
        <v>1352</v>
      </c>
      <c r="E755" s="442" t="s">
        <v>1316</v>
      </c>
      <c r="F755" s="453" t="e">
        <f>F751*F752*F753</f>
        <v>#DIV/0!</v>
      </c>
      <c r="H755" s="441" t="s">
        <v>1353</v>
      </c>
      <c r="I755" s="441" t="s">
        <v>1354</v>
      </c>
      <c r="J755" s="441" t="b">
        <f t="shared" si="18"/>
        <v>1</v>
      </c>
    </row>
    <row r="756" spans="1:10" hidden="1" x14ac:dyDescent="0.25">
      <c r="A756" s="441" t="str">
        <f t="shared" si="17"/>
        <v>Residential_Building Shell_Rim/Band Joist Insulation (Electric Heat)_FLH_cooling</v>
      </c>
      <c r="B756" t="s">
        <v>1095</v>
      </c>
      <c r="C756" t="s">
        <v>1099</v>
      </c>
      <c r="D756" t="s">
        <v>1352</v>
      </c>
      <c r="E756" s="444" t="s">
        <v>1317</v>
      </c>
      <c r="F756" s="464">
        <f>INDEX('[18]CZ Inputs'!G:G,MATCH(A756&amp;"_"&amp;[18]Dashboard_EE!$K$3,'[18]CZ Inputs'!A:A,0))</f>
        <v>779</v>
      </c>
      <c r="G756" s="441" t="s">
        <v>1297</v>
      </c>
      <c r="H756" s="441" t="s">
        <v>1353</v>
      </c>
      <c r="I756" s="441" t="s">
        <v>1354</v>
      </c>
      <c r="J756" s="441" t="b">
        <f t="shared" si="18"/>
        <v>1</v>
      </c>
    </row>
    <row r="757" spans="1:10" hidden="1" x14ac:dyDescent="0.25">
      <c r="A757" s="441" t="str">
        <f t="shared" si="17"/>
        <v>Residential_Building Shell_Rim/Band Joist Insulation (Electric Heat)_CF</v>
      </c>
      <c r="B757" t="s">
        <v>1095</v>
      </c>
      <c r="C757" t="s">
        <v>1099</v>
      </c>
      <c r="D757" t="s">
        <v>1352</v>
      </c>
      <c r="E757" s="444" t="s">
        <v>1153</v>
      </c>
      <c r="F757" s="454">
        <v>0.68</v>
      </c>
      <c r="G757" s="441" t="s">
        <v>1195</v>
      </c>
      <c r="H757" s="441" t="s">
        <v>1353</v>
      </c>
      <c r="I757" s="441" t="s">
        <v>1354</v>
      </c>
      <c r="J757" s="441" t="b">
        <f t="shared" si="18"/>
        <v>0</v>
      </c>
    </row>
    <row r="758" spans="1:10" hidden="1" x14ac:dyDescent="0.25">
      <c r="A758" s="441" t="str">
        <f t="shared" si="17"/>
        <v>Residential_Building Shell_Rim/Band Joist Insulation (Electric Heat)_Delta_kW</v>
      </c>
      <c r="B758" t="s">
        <v>1095</v>
      </c>
      <c r="C758" t="s">
        <v>1099</v>
      </c>
      <c r="D758" t="s">
        <v>1352</v>
      </c>
      <c r="E758" s="442" t="s">
        <v>1155</v>
      </c>
      <c r="F758" s="453" t="e">
        <f>(F735/F756)*F757</f>
        <v>#DIV/0!</v>
      </c>
      <c r="H758" s="441" t="s">
        <v>1353</v>
      </c>
      <c r="I758" s="441" t="s">
        <v>1354</v>
      </c>
      <c r="J758" s="441" t="b">
        <f t="shared" si="18"/>
        <v>1</v>
      </c>
    </row>
    <row r="759" spans="1:10" hidden="1" x14ac:dyDescent="0.25">
      <c r="A759" s="441" t="str">
        <f t="shared" si="17"/>
        <v>Residential_Building Shell_Rim/Band Joist Insulation (Electric Heat)_Delta_kW_Mid-Life_Adj</v>
      </c>
      <c r="B759" t="s">
        <v>1095</v>
      </c>
      <c r="C759" t="s">
        <v>1099</v>
      </c>
      <c r="D759" t="s">
        <v>1352</v>
      </c>
      <c r="E759" s="442" t="s">
        <v>1318</v>
      </c>
      <c r="F759" s="453" t="e">
        <f>(F736/F756)*F757</f>
        <v>#DIV/0!</v>
      </c>
      <c r="H759" s="441" t="s">
        <v>1353</v>
      </c>
      <c r="I759" s="441" t="s">
        <v>1354</v>
      </c>
      <c r="J759" s="441" t="b">
        <f t="shared" si="18"/>
        <v>1</v>
      </c>
    </row>
    <row r="760" spans="1:10" hidden="1" x14ac:dyDescent="0.25">
      <c r="A760" s="441" t="str">
        <f t="shared" ref="A760:A823" si="19">B760&amp;"_"&amp;C760&amp;"_"&amp;D760&amp;"_"&amp;E760</f>
        <v>Residential_Building Shell_Rim/Band Joist Insulation (Electric Heat)_R_old</v>
      </c>
      <c r="B760" t="s">
        <v>1095</v>
      </c>
      <c r="C760" t="s">
        <v>1099</v>
      </c>
      <c r="D760" t="s">
        <v>1352</v>
      </c>
      <c r="E760" s="444" t="s">
        <v>1328</v>
      </c>
      <c r="F760" s="454">
        <f>[18]Dashboard_FS!$O$20</f>
        <v>1</v>
      </c>
      <c r="G760" s="441" t="s">
        <v>1351</v>
      </c>
      <c r="H760" s="441" t="s">
        <v>1353</v>
      </c>
      <c r="I760" s="441" t="s">
        <v>1354</v>
      </c>
      <c r="J760" s="441" t="b">
        <f t="shared" si="18"/>
        <v>1</v>
      </c>
    </row>
    <row r="761" spans="1:10" hidden="1" x14ac:dyDescent="0.25">
      <c r="A761" s="441" t="str">
        <f t="shared" si="19"/>
        <v>Residential_Building Shell_Rim/Band Joist Insulation (Electric Heat)_R_rim</v>
      </c>
      <c r="B761" t="s">
        <v>1095</v>
      </c>
      <c r="C761" t="s">
        <v>1099</v>
      </c>
      <c r="D761" t="s">
        <v>1352</v>
      </c>
      <c r="E761" s="444" t="s">
        <v>1355</v>
      </c>
      <c r="F761" s="454">
        <f>[18]Dashboard_FS!$P$20</f>
        <v>0</v>
      </c>
      <c r="H761" s="441" t="s">
        <v>1353</v>
      </c>
      <c r="I761" s="441" t="s">
        <v>1354</v>
      </c>
      <c r="J761" s="441" t="b">
        <f t="shared" si="18"/>
        <v>1</v>
      </c>
    </row>
    <row r="762" spans="1:10" hidden="1" x14ac:dyDescent="0.25">
      <c r="A762" s="441" t="str">
        <f t="shared" si="19"/>
        <v>Residential_Building Shell_Rim/Band Joist Insulation (Electric Heat)_A_rim</v>
      </c>
      <c r="B762" t="s">
        <v>1095</v>
      </c>
      <c r="C762" t="s">
        <v>1099</v>
      </c>
      <c r="D762" t="s">
        <v>1352</v>
      </c>
      <c r="E762" s="442" t="s">
        <v>1356</v>
      </c>
      <c r="F762" s="453">
        <f>[18]Dashboard_FS!$O$9</f>
        <v>0</v>
      </c>
      <c r="G762" s="441" t="s">
        <v>1289</v>
      </c>
      <c r="H762" s="441" t="s">
        <v>1353</v>
      </c>
      <c r="I762" s="441" t="s">
        <v>1354</v>
      </c>
      <c r="J762" s="441" t="b">
        <f t="shared" si="18"/>
        <v>1</v>
      </c>
    </row>
    <row r="763" spans="1:10" hidden="1" x14ac:dyDescent="0.25">
      <c r="A763" s="441" t="str">
        <f t="shared" si="19"/>
        <v>Residential_Building Shell_Rim/Band Joist Insulation (Electric Heat)_Framing_factor_rim</v>
      </c>
      <c r="B763" t="s">
        <v>1095</v>
      </c>
      <c r="C763" t="s">
        <v>1099</v>
      </c>
      <c r="D763" t="s">
        <v>1352</v>
      </c>
      <c r="E763" s="444" t="s">
        <v>1357</v>
      </c>
      <c r="F763" s="454">
        <v>0.05</v>
      </c>
      <c r="H763" s="441" t="s">
        <v>1353</v>
      </c>
      <c r="I763" s="441" t="s">
        <v>1354</v>
      </c>
      <c r="J763" s="441" t="b">
        <f t="shared" si="18"/>
        <v>0</v>
      </c>
    </row>
    <row r="764" spans="1:10" hidden="1" x14ac:dyDescent="0.25">
      <c r="A764" s="441" t="str">
        <f t="shared" si="19"/>
        <v>Residential_Building Shell_Rim/Band Joist Insulation (Electric Heat)_HDD</v>
      </c>
      <c r="B764" t="s">
        <v>1095</v>
      </c>
      <c r="C764" t="s">
        <v>1099</v>
      </c>
      <c r="D764" t="s">
        <v>1352</v>
      </c>
      <c r="E764" s="444" t="s">
        <v>1308</v>
      </c>
      <c r="F764" s="464">
        <f>INDEX('[18]CZ Inputs'!G:G,MATCH(A764&amp;"_"&amp;[18]Dashboard_EE!$K$3,'[18]CZ Inputs'!A:A,0))</f>
        <v>2456</v>
      </c>
      <c r="G764" s="441" t="s">
        <v>1358</v>
      </c>
      <c r="H764" s="441" t="s">
        <v>1353</v>
      </c>
      <c r="I764" s="441" t="s">
        <v>1354</v>
      </c>
      <c r="J764" s="441" t="b">
        <f t="shared" si="18"/>
        <v>1</v>
      </c>
    </row>
    <row r="765" spans="1:10" hidden="1" x14ac:dyDescent="0.25">
      <c r="A765" s="441" t="str">
        <f t="shared" si="19"/>
        <v>Residential_Building Shell_Rim/Band Joist Insulation (Electric Heat)_24</v>
      </c>
      <c r="B765" t="s">
        <v>1095</v>
      </c>
      <c r="C765" t="s">
        <v>1099</v>
      </c>
      <c r="D765" t="s">
        <v>1352</v>
      </c>
      <c r="E765" s="444">
        <v>24</v>
      </c>
      <c r="F765" s="454">
        <v>24</v>
      </c>
      <c r="H765" s="441" t="s">
        <v>1353</v>
      </c>
      <c r="I765" s="441" t="s">
        <v>1354</v>
      </c>
      <c r="J765" s="441" t="b">
        <f t="shared" si="18"/>
        <v>0</v>
      </c>
    </row>
    <row r="766" spans="1:10" hidden="1" x14ac:dyDescent="0.25">
      <c r="A766" s="441" t="str">
        <f t="shared" si="19"/>
        <v>Residential_Building Shell_Rim/Band Joist Insulation (Electric Heat)_ADJBasementHeat</v>
      </c>
      <c r="B766" t="s">
        <v>1095</v>
      </c>
      <c r="C766" t="s">
        <v>1099</v>
      </c>
      <c r="D766" t="s">
        <v>1352</v>
      </c>
      <c r="E766" s="444" t="s">
        <v>1360</v>
      </c>
      <c r="F766" s="454">
        <v>0.6</v>
      </c>
      <c r="H766" s="441" t="s">
        <v>1353</v>
      </c>
      <c r="I766" s="441" t="s">
        <v>1354</v>
      </c>
      <c r="J766" s="441" t="b">
        <f t="shared" si="18"/>
        <v>0</v>
      </c>
    </row>
    <row r="767" spans="1:10" hidden="1" x14ac:dyDescent="0.25">
      <c r="A767" s="441" t="str">
        <f t="shared" si="19"/>
        <v>Residential_Building Shell_Rim/Band Joist Insulation (Electric Heat)_%GasHeat</v>
      </c>
      <c r="B767" t="s">
        <v>1095</v>
      </c>
      <c r="C767" t="s">
        <v>1099</v>
      </c>
      <c r="D767" t="s">
        <v>1352</v>
      </c>
      <c r="E767" s="444" t="s">
        <v>1338</v>
      </c>
      <c r="F767" s="454">
        <v>0</v>
      </c>
      <c r="G767" s="441" t="s">
        <v>1311</v>
      </c>
      <c r="H767" s="441" t="s">
        <v>1353</v>
      </c>
      <c r="I767" s="441" t="s">
        <v>1354</v>
      </c>
      <c r="J767" s="441" t="b">
        <f t="shared" si="18"/>
        <v>0</v>
      </c>
    </row>
    <row r="768" spans="1:10" hidden="1" x14ac:dyDescent="0.25">
      <c r="A768" s="441" t="str">
        <f t="shared" si="19"/>
        <v>Residential_Building Shell_Rim/Band Joist Insulation (Electric Heat)_ηHeat</v>
      </c>
      <c r="B768" t="s">
        <v>1095</v>
      </c>
      <c r="C768" t="s">
        <v>1099</v>
      </c>
      <c r="D768" t="s">
        <v>1352</v>
      </c>
      <c r="E768" s="442" t="s">
        <v>1309</v>
      </c>
      <c r="F768" s="453">
        <f>[18]Dashboard_FS!$K$8</f>
        <v>0</v>
      </c>
      <c r="G768" s="441" t="s">
        <v>1116</v>
      </c>
      <c r="H768" s="441" t="s">
        <v>1353</v>
      </c>
      <c r="I768" s="441" t="s">
        <v>1354</v>
      </c>
      <c r="J768" s="441" t="b">
        <f t="shared" si="18"/>
        <v>1</v>
      </c>
    </row>
    <row r="769" spans="1:10" hidden="1" x14ac:dyDescent="0.25">
      <c r="A769" s="441" t="str">
        <f t="shared" si="19"/>
        <v>Residential_Building Shell_Rim/Band Joist Insulation (Electric Heat)_ηHeat_Mid-Life_Adj</v>
      </c>
      <c r="B769" t="s">
        <v>1095</v>
      </c>
      <c r="C769" t="s">
        <v>1099</v>
      </c>
      <c r="D769" t="s">
        <v>1352</v>
      </c>
      <c r="E769" s="442" t="s">
        <v>1310</v>
      </c>
      <c r="F769" s="453">
        <f>[18]Dashboard_FS!$K$8</f>
        <v>0</v>
      </c>
      <c r="G769" s="441" t="s">
        <v>1116</v>
      </c>
      <c r="H769" s="441" t="s">
        <v>1353</v>
      </c>
      <c r="I769" s="441" t="s">
        <v>1354</v>
      </c>
      <c r="J769" s="441" t="b">
        <f t="shared" si="18"/>
        <v>1</v>
      </c>
    </row>
    <row r="770" spans="1:10" hidden="1" x14ac:dyDescent="0.25">
      <c r="A770" s="441" t="str">
        <f t="shared" si="19"/>
        <v>Residential_Building Shell_Rim/Band Joist Insulation (Electric Heat)_100000</v>
      </c>
      <c r="B770" t="s">
        <v>1095</v>
      </c>
      <c r="C770" t="s">
        <v>1099</v>
      </c>
      <c r="D770" t="s">
        <v>1352</v>
      </c>
      <c r="E770" s="444">
        <v>100000</v>
      </c>
      <c r="F770" s="454">
        <v>100000</v>
      </c>
      <c r="H770" s="441" t="s">
        <v>1353</v>
      </c>
      <c r="I770" s="441" t="s">
        <v>1354</v>
      </c>
      <c r="J770" s="441" t="b">
        <f t="shared" si="18"/>
        <v>0</v>
      </c>
    </row>
    <row r="771" spans="1:10" hidden="1" x14ac:dyDescent="0.25">
      <c r="A771" s="441" t="str">
        <f t="shared" si="19"/>
        <v>Residential_Building Shell_Rim/Band Joist Insulation (Electric Heat)_Delta_Therms</v>
      </c>
      <c r="B771" t="s">
        <v>1095</v>
      </c>
      <c r="C771" t="s">
        <v>1099</v>
      </c>
      <c r="D771" t="s">
        <v>1352</v>
      </c>
      <c r="E771" s="442" t="s">
        <v>1229</v>
      </c>
      <c r="F771" s="453" t="e">
        <f xml:space="preserve"> ((1/ F760 - 1/ F761) *F762 * (1 - F763) * F764 * F765 * F766 * F767) / (F768 * F770)</f>
        <v>#DIV/0!</v>
      </c>
      <c r="H771" s="441" t="s">
        <v>1353</v>
      </c>
      <c r="I771" s="441" t="s">
        <v>1354</v>
      </c>
      <c r="J771" s="441" t="b">
        <f t="shared" si="18"/>
        <v>1</v>
      </c>
    </row>
    <row r="772" spans="1:10" hidden="1" x14ac:dyDescent="0.25">
      <c r="A772" s="441" t="str">
        <f t="shared" si="19"/>
        <v>Residential_Building Shell_Rim/Band Joist Insulation (Electric Heat)_Delta_Therms_Mid-Life_Adj</v>
      </c>
      <c r="B772" t="s">
        <v>1095</v>
      </c>
      <c r="C772" t="s">
        <v>1099</v>
      </c>
      <c r="D772" t="s">
        <v>1352</v>
      </c>
      <c r="E772" s="442" t="s">
        <v>1348</v>
      </c>
      <c r="F772" s="453" t="e">
        <f xml:space="preserve"> ((1/ F760 - 1/ F761) *F762 * (1 - F763) * F764 * F765 * F766 * F767) / (F769 * F770)</f>
        <v>#DIV/0!</v>
      </c>
      <c r="H772" s="441" t="s">
        <v>1353</v>
      </c>
      <c r="I772" s="441" t="s">
        <v>1354</v>
      </c>
      <c r="J772" s="441" t="b">
        <f t="shared" si="18"/>
        <v>1</v>
      </c>
    </row>
    <row r="773" spans="1:10" hidden="1" x14ac:dyDescent="0.25">
      <c r="A773" s="441" t="str">
        <f t="shared" si="19"/>
        <v>Residential_Building Shell_Rim/Band Joist Insulation (Electric Heat)_Remaining Year kWh</v>
      </c>
      <c r="B773" t="s">
        <v>1095</v>
      </c>
      <c r="C773" t="s">
        <v>1099</v>
      </c>
      <c r="D773" t="s">
        <v>1352</v>
      </c>
      <c r="E773" s="450" t="s">
        <v>1322</v>
      </c>
      <c r="F773" s="456" t="e">
        <f>F735+F748+F754</f>
        <v>#DIV/0!</v>
      </c>
      <c r="H773" s="441" t="s">
        <v>1353</v>
      </c>
      <c r="I773" s="441" t="s">
        <v>1354</v>
      </c>
      <c r="J773" s="441" t="b">
        <f t="shared" si="18"/>
        <v>1</v>
      </c>
    </row>
    <row r="774" spans="1:10" hidden="1" x14ac:dyDescent="0.25">
      <c r="A774" s="441" t="str">
        <f t="shared" si="19"/>
        <v>Residential_Building Shell_Rim/Band Joist Insulation (Electric Heat)_kWh Saved per Unit</v>
      </c>
      <c r="B774" t="s">
        <v>1095</v>
      </c>
      <c r="C774" t="s">
        <v>1099</v>
      </c>
      <c r="D774" t="s">
        <v>1352</v>
      </c>
      <c r="E774" s="450" t="s">
        <v>1156</v>
      </c>
      <c r="F774" s="456" t="e">
        <f>F736+F749+F755</f>
        <v>#DIV/0!</v>
      </c>
      <c r="H774" s="441" t="s">
        <v>1353</v>
      </c>
      <c r="I774" s="441" t="s">
        <v>1354</v>
      </c>
      <c r="J774" s="441" t="b">
        <f t="shared" si="18"/>
        <v>1</v>
      </c>
    </row>
    <row r="775" spans="1:10" hidden="1" x14ac:dyDescent="0.25">
      <c r="A775" s="441" t="str">
        <f t="shared" si="19"/>
        <v>Residential_Building Shell_Rim/Band Joist Insulation (Electric Heat)_Remaining Year kW</v>
      </c>
      <c r="B775" t="s">
        <v>1095</v>
      </c>
      <c r="C775" t="s">
        <v>1099</v>
      </c>
      <c r="D775" t="s">
        <v>1352</v>
      </c>
      <c r="E775" s="450" t="s">
        <v>1323</v>
      </c>
      <c r="F775" s="456" t="e">
        <f>F758</f>
        <v>#DIV/0!</v>
      </c>
      <c r="H775" s="441" t="s">
        <v>1353</v>
      </c>
      <c r="I775" s="441" t="s">
        <v>1354</v>
      </c>
      <c r="J775" s="441" t="b">
        <f t="shared" si="18"/>
        <v>1</v>
      </c>
    </row>
    <row r="776" spans="1:10" hidden="1" x14ac:dyDescent="0.25">
      <c r="A776" s="441" t="str">
        <f t="shared" si="19"/>
        <v>Residential_Building Shell_Rim/Band Joist Insulation (Electric Heat)_Coincident Peak kW Saved per Unit</v>
      </c>
      <c r="B776" t="s">
        <v>1095</v>
      </c>
      <c r="C776" t="s">
        <v>1099</v>
      </c>
      <c r="D776" t="s">
        <v>1352</v>
      </c>
      <c r="E776" s="450" t="s">
        <v>1157</v>
      </c>
      <c r="F776" s="456" t="e">
        <f>F759</f>
        <v>#DIV/0!</v>
      </c>
      <c r="H776" s="441" t="s">
        <v>1353</v>
      </c>
      <c r="I776" s="441" t="s">
        <v>1354</v>
      </c>
      <c r="J776" s="441" t="b">
        <f t="shared" si="18"/>
        <v>1</v>
      </c>
    </row>
    <row r="777" spans="1:10" hidden="1" x14ac:dyDescent="0.25">
      <c r="A777" s="441" t="str">
        <f t="shared" si="19"/>
        <v>Residential_Building Shell_Rim/Band Joist Insulation (Electric Heat)_Remaining Year Therms</v>
      </c>
      <c r="B777" t="s">
        <v>1095</v>
      </c>
      <c r="C777" t="s">
        <v>1099</v>
      </c>
      <c r="D777" t="s">
        <v>1352</v>
      </c>
      <c r="E777" s="450" t="s">
        <v>1324</v>
      </c>
      <c r="F777" s="456" t="e">
        <f>F771</f>
        <v>#DIV/0!</v>
      </c>
      <c r="H777" s="441" t="s">
        <v>1353</v>
      </c>
      <c r="I777" s="441" t="s">
        <v>1354</v>
      </c>
      <c r="J777" s="441" t="b">
        <f t="shared" si="18"/>
        <v>1</v>
      </c>
    </row>
    <row r="778" spans="1:10" hidden="1" x14ac:dyDescent="0.25">
      <c r="A778" s="441" t="str">
        <f t="shared" si="19"/>
        <v>Residential_Building Shell_Rim/Band Joist Insulation (Electric Heat)_Therms Saved per Unit</v>
      </c>
      <c r="B778" t="s">
        <v>1095</v>
      </c>
      <c r="C778" t="s">
        <v>1099</v>
      </c>
      <c r="D778" t="s">
        <v>1352</v>
      </c>
      <c r="E778" s="450" t="s">
        <v>1251</v>
      </c>
      <c r="F778" s="456" t="e">
        <f>F772</f>
        <v>#DIV/0!</v>
      </c>
      <c r="H778" s="441" t="s">
        <v>1353</v>
      </c>
      <c r="I778" s="441" t="s">
        <v>1354</v>
      </c>
      <c r="J778" s="441" t="b">
        <f t="shared" si="18"/>
        <v>1</v>
      </c>
    </row>
    <row r="779" spans="1:10" hidden="1" x14ac:dyDescent="0.25">
      <c r="A779" s="441" t="str">
        <f t="shared" si="19"/>
        <v>Residential_Building Shell_Rim/Band Joist Insulation (Electric Heat)_Remaining Life</v>
      </c>
      <c r="B779" t="s">
        <v>1095</v>
      </c>
      <c r="C779" t="s">
        <v>1099</v>
      </c>
      <c r="D779" t="s">
        <v>1352</v>
      </c>
      <c r="E779" s="450" t="s">
        <v>1325</v>
      </c>
      <c r="F779" s="456">
        <v>10</v>
      </c>
      <c r="H779" s="441" t="s">
        <v>1353</v>
      </c>
      <c r="I779" s="441" t="s">
        <v>1354</v>
      </c>
      <c r="J779" s="441" t="b">
        <f t="shared" si="18"/>
        <v>0</v>
      </c>
    </row>
    <row r="780" spans="1:10" hidden="1" x14ac:dyDescent="0.25">
      <c r="A780" s="441" t="str">
        <f t="shared" si="19"/>
        <v>Residential_Building Shell_Rim/Band Joist Insulation (Electric Heat)_Lifetime (years)</v>
      </c>
      <c r="B780" t="s">
        <v>1095</v>
      </c>
      <c r="C780" t="s">
        <v>1099</v>
      </c>
      <c r="D780" t="s">
        <v>1352</v>
      </c>
      <c r="E780" s="450" t="s">
        <v>1160</v>
      </c>
      <c r="F780" s="457">
        <v>30</v>
      </c>
      <c r="H780" s="441" t="s">
        <v>1353</v>
      </c>
      <c r="I780" s="441" t="s">
        <v>1354</v>
      </c>
      <c r="J780" s="441" t="b">
        <f t="shared" si="18"/>
        <v>0</v>
      </c>
    </row>
    <row r="781" spans="1:10" hidden="1" x14ac:dyDescent="0.25">
      <c r="A781" s="441" t="str">
        <f t="shared" si="19"/>
        <v>Residential_Building Shell_Rim/Band Joist Insulation (Electric Heat)_Incremental Cost</v>
      </c>
      <c r="B781" t="s">
        <v>1095</v>
      </c>
      <c r="C781" t="s">
        <v>1099</v>
      </c>
      <c r="D781" t="s">
        <v>1352</v>
      </c>
      <c r="E781" s="450" t="s">
        <v>1161</v>
      </c>
      <c r="F781" s="452">
        <f>1*F725</f>
        <v>0</v>
      </c>
      <c r="G781" s="441" t="s">
        <v>1326</v>
      </c>
      <c r="H781" s="441" t="s">
        <v>1353</v>
      </c>
      <c r="I781" s="441" t="s">
        <v>1354</v>
      </c>
      <c r="J781" s="441" t="b">
        <f t="shared" si="18"/>
        <v>1</v>
      </c>
    </row>
    <row r="782" spans="1:10" hidden="1" x14ac:dyDescent="0.25">
      <c r="A782" s="441" t="str">
        <f t="shared" si="19"/>
        <v>Residential_Building Shell_Rim/Band Joist Insulation (Electric Heat)_BTU Impact_Existing_Fossil Fuel</v>
      </c>
      <c r="B782" t="s">
        <v>1095</v>
      </c>
      <c r="C782" t="s">
        <v>1099</v>
      </c>
      <c r="D782" t="s">
        <v>1352</v>
      </c>
      <c r="E782" s="450" t="s">
        <v>1163</v>
      </c>
      <c r="F782" s="451">
        <v>0</v>
      </c>
      <c r="H782" s="441" t="s">
        <v>1353</v>
      </c>
      <c r="I782" s="441" t="s">
        <v>1354</v>
      </c>
      <c r="J782" s="441" t="b">
        <f t="shared" si="18"/>
        <v>0</v>
      </c>
    </row>
    <row r="783" spans="1:10" hidden="1" x14ac:dyDescent="0.25">
      <c r="A783" s="441" t="str">
        <f t="shared" si="19"/>
        <v>Residential_Building Shell_Rim/Band Joist Insulation (Electric Heat)_BTU Impact_Existing_Winter Electricity</v>
      </c>
      <c r="B783" t="s">
        <v>1095</v>
      </c>
      <c r="C783" t="s">
        <v>1099</v>
      </c>
      <c r="D783" t="s">
        <v>1352</v>
      </c>
      <c r="E783" s="450" t="s">
        <v>1164</v>
      </c>
      <c r="F783" s="451">
        <v>0</v>
      </c>
      <c r="H783" s="441" t="s">
        <v>1353</v>
      </c>
      <c r="I783" s="441" t="s">
        <v>1354</v>
      </c>
      <c r="J783" s="441" t="b">
        <f t="shared" ref="J783:J846" si="20">_xlfn.ISFORMULA(F783)</f>
        <v>0</v>
      </c>
    </row>
    <row r="784" spans="1:10" hidden="1" x14ac:dyDescent="0.25">
      <c r="A784" s="441" t="str">
        <f t="shared" si="19"/>
        <v>Residential_Building Shell_Rim/Band Joist Insulation (Electric Heat)_BTU Impact_Existing_Summer Electricity</v>
      </c>
      <c r="B784" t="s">
        <v>1095</v>
      </c>
      <c r="C784" t="s">
        <v>1099</v>
      </c>
      <c r="D784" t="s">
        <v>1352</v>
      </c>
      <c r="E784" s="450" t="s">
        <v>1165</v>
      </c>
      <c r="F784" s="451">
        <v>0</v>
      </c>
      <c r="H784" s="441" t="s">
        <v>1353</v>
      </c>
      <c r="I784" s="441" t="s">
        <v>1354</v>
      </c>
      <c r="J784" s="441" t="b">
        <f t="shared" si="20"/>
        <v>0</v>
      </c>
    </row>
    <row r="785" spans="1:10" hidden="1" x14ac:dyDescent="0.25">
      <c r="A785" s="441" t="str">
        <f t="shared" si="19"/>
        <v>Residential_Building Shell_Rim/Band Joist Insulation (Electric Heat)_BTU Impact_New_Fossil Fuel</v>
      </c>
      <c r="B785" t="s">
        <v>1095</v>
      </c>
      <c r="C785" t="s">
        <v>1099</v>
      </c>
      <c r="D785" t="s">
        <v>1352</v>
      </c>
      <c r="E785" s="450" t="s">
        <v>1166</v>
      </c>
      <c r="F785" s="451">
        <v>0</v>
      </c>
      <c r="H785" s="441" t="s">
        <v>1353</v>
      </c>
      <c r="I785" s="441" t="s">
        <v>1354</v>
      </c>
      <c r="J785" s="441" t="b">
        <f t="shared" si="20"/>
        <v>0</v>
      </c>
    </row>
    <row r="786" spans="1:10" hidden="1" x14ac:dyDescent="0.25">
      <c r="A786" s="441" t="str">
        <f t="shared" si="19"/>
        <v>Residential_Building Shell_Rim/Band Joist Insulation (Electric Heat)_BTU Impact_New_Winter Electricity</v>
      </c>
      <c r="B786" t="s">
        <v>1095</v>
      </c>
      <c r="C786" t="s">
        <v>1099</v>
      </c>
      <c r="D786" t="s">
        <v>1352</v>
      </c>
      <c r="E786" s="450" t="s">
        <v>1167</v>
      </c>
      <c r="F786" s="451" t="e">
        <f>-F748*3412</f>
        <v>#DIV/0!</v>
      </c>
      <c r="H786" s="441" t="s">
        <v>1353</v>
      </c>
      <c r="I786" s="441" t="s">
        <v>1354</v>
      </c>
      <c r="J786" s="441" t="b">
        <f t="shared" si="20"/>
        <v>1</v>
      </c>
    </row>
    <row r="787" spans="1:10" hidden="1" x14ac:dyDescent="0.25">
      <c r="A787" s="441" t="str">
        <f t="shared" si="19"/>
        <v>Residential_Building Shell_Rim/Band Joist Insulation (Electric Heat)_BTU Impact_New_Summer Electricity</v>
      </c>
      <c r="B787" t="s">
        <v>1095</v>
      </c>
      <c r="C787" t="s">
        <v>1099</v>
      </c>
      <c r="D787" t="s">
        <v>1352</v>
      </c>
      <c r="E787" s="450" t="s">
        <v>1168</v>
      </c>
      <c r="F787" s="451" t="e">
        <f>-F735*3412</f>
        <v>#DIV/0!</v>
      </c>
      <c r="H787" s="441" t="s">
        <v>1353</v>
      </c>
      <c r="I787" s="441" t="s">
        <v>1354</v>
      </c>
      <c r="J787" s="441" t="b">
        <f t="shared" si="20"/>
        <v>1</v>
      </c>
    </row>
    <row r="788" spans="1:10" hidden="1" x14ac:dyDescent="0.25">
      <c r="A788" s="441" t="str">
        <f t="shared" si="19"/>
        <v>Residential_Building Shell_Rim/Band Joist Insulation (Electric Heat)_</v>
      </c>
      <c r="B788" t="s">
        <v>1095</v>
      </c>
      <c r="C788" t="s">
        <v>1099</v>
      </c>
      <c r="D788" t="s">
        <v>1352</v>
      </c>
      <c r="H788" s="441" t="s">
        <v>1353</v>
      </c>
      <c r="I788" s="441" t="s">
        <v>1354</v>
      </c>
      <c r="J788" s="441" t="b">
        <f t="shared" si="20"/>
        <v>0</v>
      </c>
    </row>
    <row r="789" spans="1:10" hidden="1" x14ac:dyDescent="0.25">
      <c r="A789" s="441" t="str">
        <f t="shared" si="19"/>
        <v>Residential_Building Shell_Basement Sidewall Insulation (Electric Heat)_R_old_AG</v>
      </c>
      <c r="B789" t="s">
        <v>1095</v>
      </c>
      <c r="C789" t="s">
        <v>1099</v>
      </c>
      <c r="D789" t="s">
        <v>1361</v>
      </c>
      <c r="E789" s="444" t="s">
        <v>1362</v>
      </c>
      <c r="F789" s="454">
        <f>[18]Dashboard_FS!$O$21</f>
        <v>1</v>
      </c>
      <c r="G789" s="441" t="s">
        <v>1219</v>
      </c>
      <c r="H789" s="441" t="s">
        <v>1363</v>
      </c>
      <c r="I789" s="441" t="s">
        <v>1364</v>
      </c>
      <c r="J789" s="441" t="b">
        <f t="shared" si="20"/>
        <v>1</v>
      </c>
    </row>
    <row r="790" spans="1:10" hidden="1" x14ac:dyDescent="0.25">
      <c r="A790" s="441" t="str">
        <f t="shared" si="19"/>
        <v>Residential_Building Shell_Basement Sidewall Insulation (Electric Heat)_R_added</v>
      </c>
      <c r="B790" t="s">
        <v>1095</v>
      </c>
      <c r="C790" t="s">
        <v>1099</v>
      </c>
      <c r="D790" t="s">
        <v>1361</v>
      </c>
      <c r="E790" s="444" t="s">
        <v>1365</v>
      </c>
      <c r="F790" s="454">
        <f>[18]Dashboard_FS!$P$21</f>
        <v>0</v>
      </c>
      <c r="G790" s="441" t="s">
        <v>1366</v>
      </c>
      <c r="H790" s="441" t="s">
        <v>1363</v>
      </c>
      <c r="I790" s="441" t="s">
        <v>1364</v>
      </c>
      <c r="J790" s="441" t="b">
        <f t="shared" si="20"/>
        <v>1</v>
      </c>
    </row>
    <row r="791" spans="1:10" hidden="1" x14ac:dyDescent="0.25">
      <c r="A791" s="441" t="str">
        <f t="shared" si="19"/>
        <v>Residential_Building Shell_Basement Sidewall Insulation (Electric Heat)_R_old_AG</v>
      </c>
      <c r="B791" t="s">
        <v>1095</v>
      </c>
      <c r="C791" t="s">
        <v>1099</v>
      </c>
      <c r="D791" t="s">
        <v>1361</v>
      </c>
      <c r="E791" s="444" t="s">
        <v>1362</v>
      </c>
      <c r="F791" s="454">
        <f>[18]Dashboard_FS!$O$21</f>
        <v>1</v>
      </c>
      <c r="G791" s="441" t="s">
        <v>1219</v>
      </c>
      <c r="H791" s="441" t="s">
        <v>1363</v>
      </c>
      <c r="I791" s="441" t="s">
        <v>1364</v>
      </c>
      <c r="J791" s="441" t="b">
        <f t="shared" si="20"/>
        <v>1</v>
      </c>
    </row>
    <row r="792" spans="1:10" hidden="1" x14ac:dyDescent="0.25">
      <c r="A792" s="441" t="str">
        <f t="shared" si="19"/>
        <v>Residential_Building Shell_Basement Sidewall Insulation (Electric Heat)_L_basement_wall_total</v>
      </c>
      <c r="B792" t="s">
        <v>1095</v>
      </c>
      <c r="C792" t="s">
        <v>1099</v>
      </c>
      <c r="D792" t="s">
        <v>1361</v>
      </c>
      <c r="E792" s="442" t="s">
        <v>1367</v>
      </c>
      <c r="F792" s="453">
        <f>[18]Dashboard_FS!$O$10</f>
        <v>0</v>
      </c>
      <c r="G792" s="441" t="s">
        <v>1289</v>
      </c>
      <c r="H792" s="441" t="s">
        <v>1363</v>
      </c>
      <c r="I792" s="441" t="s">
        <v>1364</v>
      </c>
      <c r="J792" s="441" t="b">
        <f t="shared" si="20"/>
        <v>1</v>
      </c>
    </row>
    <row r="793" spans="1:10" hidden="1" x14ac:dyDescent="0.25">
      <c r="A793" s="441" t="str">
        <f t="shared" si="19"/>
        <v>Residential_Building Shell_Basement Sidewall Insulation (Electric Heat)_H_basement_wall_AG</v>
      </c>
      <c r="B793" t="s">
        <v>1095</v>
      </c>
      <c r="C793" t="s">
        <v>1099</v>
      </c>
      <c r="D793" t="s">
        <v>1361</v>
      </c>
      <c r="E793" s="442" t="s">
        <v>1368</v>
      </c>
      <c r="F793" s="453">
        <f>[18]Dashboard_FS!$O$11</f>
        <v>1</v>
      </c>
      <c r="G793" s="441" t="s">
        <v>1366</v>
      </c>
      <c r="H793" s="441" t="s">
        <v>1363</v>
      </c>
      <c r="I793" s="441" t="s">
        <v>1364</v>
      </c>
      <c r="J793" s="441" t="b">
        <f t="shared" si="20"/>
        <v>1</v>
      </c>
    </row>
    <row r="794" spans="1:10" hidden="1" x14ac:dyDescent="0.25">
      <c r="A794" s="441" t="str">
        <f t="shared" si="19"/>
        <v>Residential_Building Shell_Basement Sidewall Insulation (Electric Heat)_Framing_factor</v>
      </c>
      <c r="B794" t="s">
        <v>1095</v>
      </c>
      <c r="C794" t="s">
        <v>1099</v>
      </c>
      <c r="D794" t="s">
        <v>1361</v>
      </c>
      <c r="E794" s="444" t="s">
        <v>1369</v>
      </c>
      <c r="F794" s="454">
        <v>0.25</v>
      </c>
      <c r="G794" s="441" t="s">
        <v>1370</v>
      </c>
      <c r="H794" s="441" t="s">
        <v>1363</v>
      </c>
      <c r="I794" s="441" t="s">
        <v>1364</v>
      </c>
      <c r="J794" s="441" t="b">
        <f t="shared" si="20"/>
        <v>0</v>
      </c>
    </row>
    <row r="795" spans="1:10" hidden="1" x14ac:dyDescent="0.25">
      <c r="A795" s="441" t="str">
        <f t="shared" si="19"/>
        <v>Residential_Building Shell_Basement Sidewall Insulation (Electric Heat)_24</v>
      </c>
      <c r="B795" t="s">
        <v>1095</v>
      </c>
      <c r="C795" t="s">
        <v>1099</v>
      </c>
      <c r="D795" t="s">
        <v>1361</v>
      </c>
      <c r="E795" s="444">
        <v>24</v>
      </c>
      <c r="F795" s="454">
        <v>24</v>
      </c>
      <c r="H795" s="441" t="s">
        <v>1363</v>
      </c>
      <c r="I795" s="441" t="s">
        <v>1364</v>
      </c>
      <c r="J795" s="441" t="b">
        <f t="shared" si="20"/>
        <v>0</v>
      </c>
    </row>
    <row r="796" spans="1:10" hidden="1" x14ac:dyDescent="0.25">
      <c r="A796" s="441" t="str">
        <f t="shared" si="19"/>
        <v>Residential_Building Shell_Basement Sidewall Insulation (Electric Heat)_CDD</v>
      </c>
      <c r="B796" t="s">
        <v>1095</v>
      </c>
      <c r="C796" t="s">
        <v>1099</v>
      </c>
      <c r="D796" t="s">
        <v>1361</v>
      </c>
      <c r="E796" s="444" t="s">
        <v>1296</v>
      </c>
      <c r="F796" s="464">
        <f>INDEX('[18]CZ Inputs'!G:G,MATCH(A796&amp;"_"&amp;[18]Dashboard_EE!$K$3,'[18]CZ Inputs'!A:A,0))</f>
        <v>448</v>
      </c>
      <c r="G796" s="441" t="s">
        <v>1358</v>
      </c>
      <c r="H796" s="441" t="s">
        <v>1363</v>
      </c>
      <c r="I796" s="441" t="s">
        <v>1364</v>
      </c>
      <c r="J796" s="441" t="b">
        <f t="shared" si="20"/>
        <v>1</v>
      </c>
    </row>
    <row r="797" spans="1:10" hidden="1" x14ac:dyDescent="0.25">
      <c r="A797" s="441" t="str">
        <f t="shared" si="19"/>
        <v>Residential_Building Shell_Basement Sidewall Insulation (Electric Heat)_DUA</v>
      </c>
      <c r="B797" t="s">
        <v>1095</v>
      </c>
      <c r="C797" t="s">
        <v>1099</v>
      </c>
      <c r="D797" t="s">
        <v>1361</v>
      </c>
      <c r="E797" s="444" t="s">
        <v>1298</v>
      </c>
      <c r="F797" s="454">
        <v>0.75</v>
      </c>
      <c r="H797" s="441" t="s">
        <v>1363</v>
      </c>
      <c r="I797" s="441" t="s">
        <v>1364</v>
      </c>
      <c r="J797" s="441" t="b">
        <f t="shared" si="20"/>
        <v>0</v>
      </c>
    </row>
    <row r="798" spans="1:10" hidden="1" x14ac:dyDescent="0.25">
      <c r="A798" s="441" t="str">
        <f t="shared" si="19"/>
        <v>Residential_Building Shell_Basement Sidewall Insulation (Electric Heat)_1000</v>
      </c>
      <c r="B798" t="s">
        <v>1095</v>
      </c>
      <c r="C798" t="s">
        <v>1099</v>
      </c>
      <c r="D798" t="s">
        <v>1361</v>
      </c>
      <c r="E798" s="444">
        <v>1000</v>
      </c>
      <c r="F798" s="454">
        <v>1000</v>
      </c>
      <c r="H798" s="441" t="s">
        <v>1363</v>
      </c>
      <c r="I798" s="441" t="s">
        <v>1364</v>
      </c>
      <c r="J798" s="441" t="b">
        <f t="shared" si="20"/>
        <v>0</v>
      </c>
    </row>
    <row r="799" spans="1:10" hidden="1" x14ac:dyDescent="0.25">
      <c r="A799" s="441" t="str">
        <f t="shared" si="19"/>
        <v>Residential_Building Shell_Basement Sidewall Insulation (Electric Heat)_ηCool</v>
      </c>
      <c r="B799" t="s">
        <v>1095</v>
      </c>
      <c r="C799" t="s">
        <v>1099</v>
      </c>
      <c r="D799" t="s">
        <v>1361</v>
      </c>
      <c r="E799" s="442" t="s">
        <v>1299</v>
      </c>
      <c r="F799" s="453">
        <f>[18]Dashboard_FS!$K$14</f>
        <v>0</v>
      </c>
      <c r="G799" s="441" t="s">
        <v>1116</v>
      </c>
      <c r="H799" s="441" t="s">
        <v>1363</v>
      </c>
      <c r="I799" s="441" t="s">
        <v>1364</v>
      </c>
      <c r="J799" s="441" t="b">
        <f t="shared" si="20"/>
        <v>1</v>
      </c>
    </row>
    <row r="800" spans="1:10" hidden="1" x14ac:dyDescent="0.25">
      <c r="A800" s="441" t="str">
        <f t="shared" si="19"/>
        <v>Residential_Building Shell_Basement Sidewall Insulation (Electric Heat)_ηCool_Mid-Life_Adj</v>
      </c>
      <c r="B800" t="s">
        <v>1095</v>
      </c>
      <c r="C800" t="s">
        <v>1099</v>
      </c>
      <c r="D800" t="s">
        <v>1361</v>
      </c>
      <c r="E800" s="442" t="s">
        <v>1300</v>
      </c>
      <c r="F800" s="453">
        <f>[18]Dashboard_FS!$K$14</f>
        <v>0</v>
      </c>
      <c r="G800" s="441" t="s">
        <v>1116</v>
      </c>
      <c r="H800" s="441" t="s">
        <v>1363</v>
      </c>
      <c r="I800" s="441" t="s">
        <v>1364</v>
      </c>
      <c r="J800" s="441" t="b">
        <f t="shared" si="20"/>
        <v>1</v>
      </c>
    </row>
    <row r="801" spans="1:10" hidden="1" x14ac:dyDescent="0.25">
      <c r="A801" s="441" t="str">
        <f t="shared" si="19"/>
        <v>Residential_Building Shell_Basement Sidewall Insulation (Electric Heat)_ADJBasementCool</v>
      </c>
      <c r="B801" t="s">
        <v>1095</v>
      </c>
      <c r="C801" t="s">
        <v>1099</v>
      </c>
      <c r="D801" t="s">
        <v>1361</v>
      </c>
      <c r="E801" s="444" t="s">
        <v>1359</v>
      </c>
      <c r="F801" s="464">
        <v>0.75</v>
      </c>
      <c r="H801" s="441" t="s">
        <v>1363</v>
      </c>
      <c r="I801" s="441" t="s">
        <v>1364</v>
      </c>
      <c r="J801" s="441" t="b">
        <f t="shared" si="20"/>
        <v>0</v>
      </c>
    </row>
    <row r="802" spans="1:10" hidden="1" x14ac:dyDescent="0.25">
      <c r="A802" s="441" t="str">
        <f t="shared" si="19"/>
        <v>Residential_Building Shell_Basement Sidewall Insulation (Electric Heat)_%Cool</v>
      </c>
      <c r="B802" t="s">
        <v>1095</v>
      </c>
      <c r="C802" t="s">
        <v>1099</v>
      </c>
      <c r="D802" t="s">
        <v>1361</v>
      </c>
      <c r="E802" s="444" t="s">
        <v>1272</v>
      </c>
      <c r="F802" s="454">
        <v>1</v>
      </c>
      <c r="H802" s="441" t="s">
        <v>1363</v>
      </c>
      <c r="I802" s="441" t="s">
        <v>1364</v>
      </c>
      <c r="J802" s="441" t="b">
        <f t="shared" si="20"/>
        <v>0</v>
      </c>
    </row>
    <row r="803" spans="1:10" hidden="1" x14ac:dyDescent="0.25">
      <c r="A803" s="441" t="str">
        <f t="shared" si="19"/>
        <v>Residential_Building Shell_Basement Sidewall Insulation (Electric Heat)_Delta_kWh_cooling</v>
      </c>
      <c r="B803" t="s">
        <v>1095</v>
      </c>
      <c r="C803" t="s">
        <v>1099</v>
      </c>
      <c r="D803" t="s">
        <v>1361</v>
      </c>
      <c r="E803" s="442" t="s">
        <v>1305</v>
      </c>
      <c r="F803" s="453" t="e">
        <f xml:space="preserve"> ((((1/ F789 - 1/ (F790 + F791)) * F792 * F793 * (1 - F794)) * F795 * F796 * F797) / (F798 * F799)) * F801 * F802</f>
        <v>#DIV/0!</v>
      </c>
      <c r="H803" s="441" t="s">
        <v>1363</v>
      </c>
      <c r="I803" s="441" t="s">
        <v>1364</v>
      </c>
      <c r="J803" s="441" t="b">
        <f t="shared" si="20"/>
        <v>1</v>
      </c>
    </row>
    <row r="804" spans="1:10" hidden="1" x14ac:dyDescent="0.25">
      <c r="A804" s="441" t="str">
        <f t="shared" si="19"/>
        <v>Residential_Building Shell_Basement Sidewall Insulation (Electric Heat)_Delta_kWh_cooling_Mid-Life_Adj</v>
      </c>
      <c r="B804" t="s">
        <v>1095</v>
      </c>
      <c r="C804" t="s">
        <v>1099</v>
      </c>
      <c r="D804" t="s">
        <v>1361</v>
      </c>
      <c r="E804" s="442" t="s">
        <v>1306</v>
      </c>
      <c r="F804" s="453" t="e">
        <f xml:space="preserve"> ((((1/ F789 - 1/ (F790 + F791)) * F792 * F793 * (1 - F794)) * F795 * F796 * F797) / (F798 * F800)) * F801 * F802</f>
        <v>#DIV/0!</v>
      </c>
      <c r="H804" s="441" t="s">
        <v>1363</v>
      </c>
      <c r="I804" s="441" t="s">
        <v>1364</v>
      </c>
      <c r="J804" s="441" t="b">
        <f t="shared" si="20"/>
        <v>1</v>
      </c>
    </row>
    <row r="805" spans="1:10" hidden="1" x14ac:dyDescent="0.25">
      <c r="A805" s="441" t="str">
        <f t="shared" si="19"/>
        <v>Residential_Building Shell_Basement Sidewall Insulation (Electric Heat)_R_old_AG</v>
      </c>
      <c r="B805" t="s">
        <v>1095</v>
      </c>
      <c r="C805" t="s">
        <v>1099</v>
      </c>
      <c r="D805" t="s">
        <v>1361</v>
      </c>
      <c r="E805" s="444" t="s">
        <v>1362</v>
      </c>
      <c r="F805" s="454">
        <f>[18]Dashboard_FS!$O$21</f>
        <v>1</v>
      </c>
      <c r="G805" s="441" t="s">
        <v>1219</v>
      </c>
      <c r="H805" s="441" t="s">
        <v>1363</v>
      </c>
      <c r="I805" s="441" t="s">
        <v>1364</v>
      </c>
      <c r="J805" s="441" t="b">
        <f t="shared" si="20"/>
        <v>1</v>
      </c>
    </row>
    <row r="806" spans="1:10" hidden="1" x14ac:dyDescent="0.25">
      <c r="A806" s="441" t="str">
        <f t="shared" si="19"/>
        <v>Residential_Building Shell_Basement Sidewall Insulation (Electric Heat)_R_added</v>
      </c>
      <c r="B806" t="s">
        <v>1095</v>
      </c>
      <c r="C806" t="s">
        <v>1099</v>
      </c>
      <c r="D806" t="s">
        <v>1361</v>
      </c>
      <c r="E806" s="444" t="s">
        <v>1365</v>
      </c>
      <c r="F806" s="454">
        <f>[18]Dashboard_FS!$P$21</f>
        <v>0</v>
      </c>
      <c r="G806" s="441" t="s">
        <v>1366</v>
      </c>
      <c r="H806" s="441" t="s">
        <v>1363</v>
      </c>
      <c r="I806" s="441" t="s">
        <v>1364</v>
      </c>
      <c r="J806" s="441" t="b">
        <f t="shared" si="20"/>
        <v>1</v>
      </c>
    </row>
    <row r="807" spans="1:10" hidden="1" x14ac:dyDescent="0.25">
      <c r="A807" s="441" t="str">
        <f t="shared" si="19"/>
        <v>Residential_Building Shell_Basement Sidewall Insulation (Electric Heat)_R_old_AG</v>
      </c>
      <c r="B807" t="s">
        <v>1095</v>
      </c>
      <c r="C807" t="s">
        <v>1099</v>
      </c>
      <c r="D807" t="s">
        <v>1361</v>
      </c>
      <c r="E807" s="444" t="s">
        <v>1362</v>
      </c>
      <c r="F807" s="454">
        <f>[18]Dashboard_FS!$O$21</f>
        <v>1</v>
      </c>
      <c r="G807" s="441" t="s">
        <v>1219</v>
      </c>
      <c r="H807" s="441" t="s">
        <v>1363</v>
      </c>
      <c r="I807" s="441" t="s">
        <v>1364</v>
      </c>
      <c r="J807" s="441" t="b">
        <f t="shared" si="20"/>
        <v>1</v>
      </c>
    </row>
    <row r="808" spans="1:10" hidden="1" x14ac:dyDescent="0.25">
      <c r="A808" s="441" t="str">
        <f t="shared" si="19"/>
        <v>Residential_Building Shell_Basement Sidewall Insulation (Electric Heat)_L_basement_wall_total</v>
      </c>
      <c r="B808" t="s">
        <v>1095</v>
      </c>
      <c r="C808" t="s">
        <v>1099</v>
      </c>
      <c r="D808" t="s">
        <v>1361</v>
      </c>
      <c r="E808" s="442" t="s">
        <v>1367</v>
      </c>
      <c r="F808" s="453">
        <f>[18]Dashboard_FS!$O$10</f>
        <v>0</v>
      </c>
      <c r="G808" s="441" t="s">
        <v>1289</v>
      </c>
      <c r="H808" s="441" t="s">
        <v>1363</v>
      </c>
      <c r="I808" s="441" t="s">
        <v>1364</v>
      </c>
      <c r="J808" s="441" t="b">
        <f t="shared" si="20"/>
        <v>1</v>
      </c>
    </row>
    <row r="809" spans="1:10" hidden="1" x14ac:dyDescent="0.25">
      <c r="A809" s="441" t="str">
        <f t="shared" si="19"/>
        <v>Residential_Building Shell_Basement Sidewall Insulation (Electric Heat)_H_basement_wall_AG</v>
      </c>
      <c r="B809" t="s">
        <v>1095</v>
      </c>
      <c r="C809" t="s">
        <v>1099</v>
      </c>
      <c r="D809" t="s">
        <v>1361</v>
      </c>
      <c r="E809" s="442" t="s">
        <v>1368</v>
      </c>
      <c r="F809" s="453">
        <f>[18]Dashboard_FS!$O$11</f>
        <v>1</v>
      </c>
      <c r="G809" s="441" t="s">
        <v>1366</v>
      </c>
      <c r="H809" s="441" t="s">
        <v>1363</v>
      </c>
      <c r="I809" s="441" t="s">
        <v>1364</v>
      </c>
      <c r="J809" s="441" t="b">
        <f t="shared" si="20"/>
        <v>1</v>
      </c>
    </row>
    <row r="810" spans="1:10" hidden="1" x14ac:dyDescent="0.25">
      <c r="A810" s="441" t="str">
        <f t="shared" si="19"/>
        <v>Residential_Building Shell_Basement Sidewall Insulation (Electric Heat)_Framing_factor</v>
      </c>
      <c r="B810" t="s">
        <v>1095</v>
      </c>
      <c r="C810" t="s">
        <v>1099</v>
      </c>
      <c r="D810" t="s">
        <v>1361</v>
      </c>
      <c r="E810" s="444" t="s">
        <v>1369</v>
      </c>
      <c r="F810" s="454">
        <v>0.25</v>
      </c>
      <c r="G810" s="441" t="s">
        <v>1370</v>
      </c>
      <c r="H810" s="441" t="s">
        <v>1363</v>
      </c>
      <c r="I810" s="441" t="s">
        <v>1364</v>
      </c>
      <c r="J810" s="441" t="b">
        <f t="shared" si="20"/>
        <v>0</v>
      </c>
    </row>
    <row r="811" spans="1:10" hidden="1" x14ac:dyDescent="0.25">
      <c r="A811" s="441" t="str">
        <f t="shared" si="19"/>
        <v>Residential_Building Shell_Basement Sidewall Insulation (Electric Heat)_R_old_BG</v>
      </c>
      <c r="B811" t="s">
        <v>1095</v>
      </c>
      <c r="C811" t="s">
        <v>1099</v>
      </c>
      <c r="D811" t="s">
        <v>1361</v>
      </c>
      <c r="E811" s="444" t="s">
        <v>1371</v>
      </c>
      <c r="F811" s="454">
        <v>7.42</v>
      </c>
      <c r="G811" s="441" t="s">
        <v>1372</v>
      </c>
      <c r="H811" s="441" t="s">
        <v>1363</v>
      </c>
      <c r="I811" s="441" t="s">
        <v>1364</v>
      </c>
      <c r="J811" s="441" t="b">
        <f t="shared" si="20"/>
        <v>0</v>
      </c>
    </row>
    <row r="812" spans="1:10" hidden="1" x14ac:dyDescent="0.25">
      <c r="A812" s="441" t="str">
        <f t="shared" si="19"/>
        <v>Residential_Building Shell_Basement Sidewall Insulation (Electric Heat)_R_added</v>
      </c>
      <c r="B812" t="s">
        <v>1095</v>
      </c>
      <c r="C812" t="s">
        <v>1099</v>
      </c>
      <c r="D812" t="s">
        <v>1361</v>
      </c>
      <c r="E812" s="444" t="s">
        <v>1365</v>
      </c>
      <c r="F812" s="454">
        <f>[18]Dashboard_FS!$P$21</f>
        <v>0</v>
      </c>
      <c r="G812" s="441" t="s">
        <v>1366</v>
      </c>
      <c r="H812" s="441" t="s">
        <v>1363</v>
      </c>
      <c r="I812" s="441" t="s">
        <v>1364</v>
      </c>
      <c r="J812" s="441" t="b">
        <f t="shared" si="20"/>
        <v>1</v>
      </c>
    </row>
    <row r="813" spans="1:10" hidden="1" x14ac:dyDescent="0.25">
      <c r="A813" s="441" t="str">
        <f t="shared" si="19"/>
        <v>Residential_Building Shell_Basement Sidewall Insulation (Electric Heat)_R_old_BG</v>
      </c>
      <c r="B813" t="s">
        <v>1095</v>
      </c>
      <c r="C813" t="s">
        <v>1099</v>
      </c>
      <c r="D813" t="s">
        <v>1361</v>
      </c>
      <c r="E813" s="444" t="s">
        <v>1371</v>
      </c>
      <c r="F813" s="454">
        <v>7.42</v>
      </c>
      <c r="G813" s="441" t="s">
        <v>1372</v>
      </c>
      <c r="H813" s="441" t="s">
        <v>1363</v>
      </c>
      <c r="I813" s="441" t="s">
        <v>1364</v>
      </c>
      <c r="J813" s="441" t="b">
        <f t="shared" si="20"/>
        <v>0</v>
      </c>
    </row>
    <row r="814" spans="1:10" hidden="1" x14ac:dyDescent="0.25">
      <c r="A814" s="441" t="str">
        <f t="shared" si="19"/>
        <v>Residential_Building Shell_Basement Sidewall Insulation (Electric Heat)_L_basement_wall_total</v>
      </c>
      <c r="B814" t="s">
        <v>1095</v>
      </c>
      <c r="C814" t="s">
        <v>1099</v>
      </c>
      <c r="D814" t="s">
        <v>1361</v>
      </c>
      <c r="E814" s="442" t="s">
        <v>1367</v>
      </c>
      <c r="F814" s="453">
        <f>[18]Dashboard_FS!$O$10</f>
        <v>0</v>
      </c>
      <c r="G814" s="441" t="s">
        <v>1289</v>
      </c>
      <c r="H814" s="441" t="s">
        <v>1363</v>
      </c>
      <c r="I814" s="441" t="s">
        <v>1364</v>
      </c>
      <c r="J814" s="441" t="b">
        <f t="shared" si="20"/>
        <v>1</v>
      </c>
    </row>
    <row r="815" spans="1:10" hidden="1" x14ac:dyDescent="0.25">
      <c r="A815" s="441" t="str">
        <f t="shared" si="19"/>
        <v>Residential_Building Shell_Basement Sidewall Insulation (Electric Heat)_H_basement_wall_total</v>
      </c>
      <c r="B815" t="s">
        <v>1095</v>
      </c>
      <c r="C815" t="s">
        <v>1099</v>
      </c>
      <c r="D815" t="s">
        <v>1361</v>
      </c>
      <c r="E815" s="442" t="s">
        <v>1373</v>
      </c>
      <c r="F815" s="453">
        <f>[18]Dashboard_FS!$O$12</f>
        <v>3</v>
      </c>
      <c r="G815" s="441" t="s">
        <v>1366</v>
      </c>
      <c r="H815" s="441" t="s">
        <v>1363</v>
      </c>
      <c r="I815" s="441" t="s">
        <v>1364</v>
      </c>
      <c r="J815" s="441" t="b">
        <f t="shared" si="20"/>
        <v>1</v>
      </c>
    </row>
    <row r="816" spans="1:10" hidden="1" x14ac:dyDescent="0.25">
      <c r="A816" s="441" t="str">
        <f t="shared" si="19"/>
        <v>Residential_Building Shell_Basement Sidewall Insulation (Electric Heat)_H_basement_wall_AG</v>
      </c>
      <c r="B816" t="s">
        <v>1095</v>
      </c>
      <c r="C816" t="s">
        <v>1099</v>
      </c>
      <c r="D816" t="s">
        <v>1361</v>
      </c>
      <c r="E816" s="442" t="s">
        <v>1368</v>
      </c>
      <c r="F816" s="453">
        <f>[18]Dashboard_FS!$O$11</f>
        <v>1</v>
      </c>
      <c r="G816" s="441" t="s">
        <v>1366</v>
      </c>
      <c r="H816" s="441" t="s">
        <v>1363</v>
      </c>
      <c r="I816" s="441" t="s">
        <v>1364</v>
      </c>
      <c r="J816" s="441" t="b">
        <f t="shared" si="20"/>
        <v>1</v>
      </c>
    </row>
    <row r="817" spans="1:10" hidden="1" x14ac:dyDescent="0.25">
      <c r="A817" s="441" t="str">
        <f t="shared" si="19"/>
        <v>Residential_Building Shell_Basement Sidewall Insulation (Electric Heat)_Framing_factor</v>
      </c>
      <c r="B817" t="s">
        <v>1095</v>
      </c>
      <c r="C817" t="s">
        <v>1099</v>
      </c>
      <c r="D817" t="s">
        <v>1361</v>
      </c>
      <c r="E817" s="444" t="s">
        <v>1369</v>
      </c>
      <c r="F817" s="454">
        <v>0.25</v>
      </c>
      <c r="G817" s="441" t="s">
        <v>1370</v>
      </c>
      <c r="H817" s="441" t="s">
        <v>1363</v>
      </c>
      <c r="I817" s="441" t="s">
        <v>1364</v>
      </c>
      <c r="J817" s="441" t="b">
        <f t="shared" si="20"/>
        <v>0</v>
      </c>
    </row>
    <row r="818" spans="1:10" hidden="1" x14ac:dyDescent="0.25">
      <c r="A818" s="441" t="str">
        <f t="shared" si="19"/>
        <v>Residential_Building Shell_Basement Sidewall Insulation (Electric Heat)_24</v>
      </c>
      <c r="B818" t="s">
        <v>1095</v>
      </c>
      <c r="C818" t="s">
        <v>1099</v>
      </c>
      <c r="D818" t="s">
        <v>1361</v>
      </c>
      <c r="E818" s="444">
        <v>24</v>
      </c>
      <c r="F818" s="454">
        <v>24</v>
      </c>
      <c r="H818" s="441" t="s">
        <v>1363</v>
      </c>
      <c r="I818" s="441" t="s">
        <v>1364</v>
      </c>
      <c r="J818" s="441" t="b">
        <f t="shared" si="20"/>
        <v>0</v>
      </c>
    </row>
    <row r="819" spans="1:10" hidden="1" x14ac:dyDescent="0.25">
      <c r="A819" s="441" t="str">
        <f t="shared" si="19"/>
        <v>Residential_Building Shell_Basement Sidewall Insulation (Electric Heat)_HDD</v>
      </c>
      <c r="B819" t="s">
        <v>1095</v>
      </c>
      <c r="C819" t="s">
        <v>1099</v>
      </c>
      <c r="D819" t="s">
        <v>1361</v>
      </c>
      <c r="E819" s="444" t="s">
        <v>1308</v>
      </c>
      <c r="F819" s="464">
        <f>INDEX('[18]CZ Inputs'!G:G,MATCH(A819&amp;"_"&amp;[18]Dashboard_EE!$K$3,'[18]CZ Inputs'!A:A,0))</f>
        <v>2456</v>
      </c>
      <c r="G819" s="441" t="s">
        <v>1358</v>
      </c>
      <c r="H819" s="441" t="s">
        <v>1363</v>
      </c>
      <c r="I819" s="441" t="s">
        <v>1364</v>
      </c>
      <c r="J819" s="441" t="b">
        <f t="shared" si="20"/>
        <v>1</v>
      </c>
    </row>
    <row r="820" spans="1:10" hidden="1" x14ac:dyDescent="0.25">
      <c r="A820" s="441" t="str">
        <f t="shared" si="19"/>
        <v>Residential_Building Shell_Basement Sidewall Insulation (Electric Heat)_3412</v>
      </c>
      <c r="B820" t="s">
        <v>1095</v>
      </c>
      <c r="C820" t="s">
        <v>1099</v>
      </c>
      <c r="D820" t="s">
        <v>1361</v>
      </c>
      <c r="E820" s="444">
        <v>3412</v>
      </c>
      <c r="F820" s="454">
        <v>3412</v>
      </c>
      <c r="H820" s="441" t="s">
        <v>1363</v>
      </c>
      <c r="I820" s="441" t="s">
        <v>1364</v>
      </c>
      <c r="J820" s="441" t="b">
        <f t="shared" si="20"/>
        <v>0</v>
      </c>
    </row>
    <row r="821" spans="1:10" hidden="1" x14ac:dyDescent="0.25">
      <c r="A821" s="441" t="str">
        <f t="shared" si="19"/>
        <v>Residential_Building Shell_Basement Sidewall Insulation (Electric Heat)_ηHeat</v>
      </c>
      <c r="B821" t="s">
        <v>1095</v>
      </c>
      <c r="C821" t="s">
        <v>1099</v>
      </c>
      <c r="D821" t="s">
        <v>1361</v>
      </c>
      <c r="E821" s="442" t="s">
        <v>1309</v>
      </c>
      <c r="F821" s="453">
        <f>[18]Dashboard_FS!$K$6</f>
        <v>0</v>
      </c>
      <c r="G821" s="441" t="s">
        <v>1116</v>
      </c>
      <c r="H821" s="441" t="s">
        <v>1363</v>
      </c>
      <c r="I821" s="441" t="s">
        <v>1364</v>
      </c>
      <c r="J821" s="441" t="b">
        <f t="shared" si="20"/>
        <v>1</v>
      </c>
    </row>
    <row r="822" spans="1:10" hidden="1" x14ac:dyDescent="0.25">
      <c r="A822" s="441" t="str">
        <f t="shared" si="19"/>
        <v>Residential_Building Shell_Basement Sidewall Insulation (Electric Heat)_ηHeat_Mid-Life_Adj</v>
      </c>
      <c r="B822" t="s">
        <v>1095</v>
      </c>
      <c r="C822" t="s">
        <v>1099</v>
      </c>
      <c r="D822" t="s">
        <v>1361</v>
      </c>
      <c r="E822" s="442" t="s">
        <v>1310</v>
      </c>
      <c r="F822" s="453">
        <f>[18]Dashboard_FS!$K$6</f>
        <v>0</v>
      </c>
      <c r="G822" s="441" t="s">
        <v>1116</v>
      </c>
      <c r="H822" s="441" t="s">
        <v>1363</v>
      </c>
      <c r="I822" s="441" t="s">
        <v>1364</v>
      </c>
      <c r="J822" s="441" t="b">
        <f t="shared" si="20"/>
        <v>1</v>
      </c>
    </row>
    <row r="823" spans="1:10" hidden="1" x14ac:dyDescent="0.25">
      <c r="A823" s="441" t="str">
        <f t="shared" si="19"/>
        <v>Residential_Building Shell_Basement Sidewall Insulation (Electric Heat)_ADJBasementHeat</v>
      </c>
      <c r="B823" t="s">
        <v>1095</v>
      </c>
      <c r="C823" t="s">
        <v>1099</v>
      </c>
      <c r="D823" t="s">
        <v>1361</v>
      </c>
      <c r="E823" s="444" t="s">
        <v>1360</v>
      </c>
      <c r="F823" s="454">
        <v>0.6</v>
      </c>
      <c r="H823" s="441" t="s">
        <v>1363</v>
      </c>
      <c r="I823" s="441" t="s">
        <v>1364</v>
      </c>
      <c r="J823" s="441" t="b">
        <f t="shared" si="20"/>
        <v>0</v>
      </c>
    </row>
    <row r="824" spans="1:10" hidden="1" x14ac:dyDescent="0.25">
      <c r="A824" s="441" t="str">
        <f t="shared" ref="A824:A887" si="21">B824&amp;"_"&amp;C824&amp;"_"&amp;D824&amp;"_"&amp;E824</f>
        <v>Residential_Building Shell_Basement Sidewall Insulation (Electric Heat)_%ElectricHeat</v>
      </c>
      <c r="B824" t="s">
        <v>1095</v>
      </c>
      <c r="C824" t="s">
        <v>1099</v>
      </c>
      <c r="D824" t="s">
        <v>1361</v>
      </c>
      <c r="E824" s="444" t="s">
        <v>1277</v>
      </c>
      <c r="F824" s="454">
        <v>1</v>
      </c>
      <c r="G824" s="441" t="s">
        <v>1311</v>
      </c>
      <c r="H824" s="441" t="s">
        <v>1363</v>
      </c>
      <c r="I824" s="441" t="s">
        <v>1364</v>
      </c>
      <c r="J824" s="441" t="b">
        <f t="shared" si="20"/>
        <v>0</v>
      </c>
    </row>
    <row r="825" spans="1:10" hidden="1" x14ac:dyDescent="0.25">
      <c r="A825" s="441" t="str">
        <f t="shared" si="21"/>
        <v>Residential_Building Shell_Basement Sidewall Insulation (Electric Heat)_Delta_kWh_heatingElectric</v>
      </c>
      <c r="B825" t="s">
        <v>1095</v>
      </c>
      <c r="C825" t="s">
        <v>1099</v>
      </c>
      <c r="D825" t="s">
        <v>1361</v>
      </c>
      <c r="E825" s="442" t="s">
        <v>1312</v>
      </c>
      <c r="F825" s="453" t="e">
        <f xml:space="preserve"> ((((1/ F805 - 1/ (F806 + F807)) * F808 * F809 * (1 - F810)) + (((1/ F811 - 1/ (F812 + F813)) * F814 * (F815 - F816) * (1 - F817))) * F818 * F819) / (F820 * F821)) * F823 * F824</f>
        <v>#DIV/0!</v>
      </c>
      <c r="H825" s="441" t="s">
        <v>1363</v>
      </c>
      <c r="I825" s="441" t="s">
        <v>1364</v>
      </c>
      <c r="J825" s="441" t="b">
        <f t="shared" si="20"/>
        <v>1</v>
      </c>
    </row>
    <row r="826" spans="1:10" hidden="1" x14ac:dyDescent="0.25">
      <c r="A826" s="441" t="str">
        <f t="shared" si="21"/>
        <v>Residential_Building Shell_Basement Sidewall Insulation (Electric Heat)_Delta_kWh_heatingElectric_Mid-Life_Adj</v>
      </c>
      <c r="B826" t="s">
        <v>1095</v>
      </c>
      <c r="C826" t="s">
        <v>1099</v>
      </c>
      <c r="D826" t="s">
        <v>1361</v>
      </c>
      <c r="E826" s="442" t="s">
        <v>1313</v>
      </c>
      <c r="F826" s="453" t="e">
        <f xml:space="preserve"> ((((1/ F805 - 1/ (F806 + F807)) * F808 * F809 * (1 - F810)) + (((1/ F811 - 1/ (F812 + F813)) * F814 * (F815 - F816) * (1 - F817))) * F818 * F819) / (F820 * F822)) * F823 * F824</f>
        <v>#DIV/0!</v>
      </c>
      <c r="H826" s="441" t="s">
        <v>1363</v>
      </c>
      <c r="I826" s="441" t="s">
        <v>1364</v>
      </c>
      <c r="J826" s="441" t="b">
        <f t="shared" si="20"/>
        <v>1</v>
      </c>
    </row>
    <row r="827" spans="1:10" hidden="1" x14ac:dyDescent="0.25">
      <c r="A827" s="441" t="str">
        <f t="shared" si="21"/>
        <v>Residential_Building Shell_Basement Sidewall Insulation (Electric Heat)_Delta_Therms</v>
      </c>
      <c r="B827" t="s">
        <v>1095</v>
      </c>
      <c r="C827" t="s">
        <v>1099</v>
      </c>
      <c r="D827" t="s">
        <v>1361</v>
      </c>
      <c r="E827" s="442" t="s">
        <v>1229</v>
      </c>
      <c r="F827" s="453" t="e">
        <f>F857</f>
        <v>#DIV/0!</v>
      </c>
      <c r="H827" s="441" t="s">
        <v>1363</v>
      </c>
      <c r="I827" s="441" t="s">
        <v>1364</v>
      </c>
      <c r="J827" s="441" t="b">
        <f t="shared" si="20"/>
        <v>1</v>
      </c>
    </row>
    <row r="828" spans="1:10" hidden="1" x14ac:dyDescent="0.25">
      <c r="A828" s="441" t="str">
        <f t="shared" si="21"/>
        <v>Residential_Building Shell_Basement Sidewall Insulation (Electric Heat)_Delta_Therms_Mid-Life_Adj</v>
      </c>
      <c r="B828" t="s">
        <v>1095</v>
      </c>
      <c r="C828" t="s">
        <v>1099</v>
      </c>
      <c r="D828" t="s">
        <v>1361</v>
      </c>
      <c r="E828" s="442" t="s">
        <v>1348</v>
      </c>
      <c r="F828" s="453" t="e">
        <f>F858</f>
        <v>#DIV/0!</v>
      </c>
      <c r="H828" s="441" t="s">
        <v>1363</v>
      </c>
      <c r="I828" s="441" t="s">
        <v>1364</v>
      </c>
      <c r="J828" s="441" t="b">
        <f t="shared" si="20"/>
        <v>1</v>
      </c>
    </row>
    <row r="829" spans="1:10" hidden="1" x14ac:dyDescent="0.25">
      <c r="A829" s="441" t="str">
        <f t="shared" si="21"/>
        <v>Residential_Building Shell_Basement Sidewall Insulation (Electric Heat)_Fe</v>
      </c>
      <c r="B829" t="s">
        <v>1095</v>
      </c>
      <c r="C829" t="s">
        <v>1099</v>
      </c>
      <c r="D829" t="s">
        <v>1361</v>
      </c>
      <c r="E829" s="444" t="s">
        <v>1127</v>
      </c>
      <c r="F829" s="454">
        <v>3.1399999999999997E-2</v>
      </c>
      <c r="H829" s="441" t="s">
        <v>1363</v>
      </c>
      <c r="I829" s="441" t="s">
        <v>1364</v>
      </c>
      <c r="J829" s="441" t="b">
        <f t="shared" si="20"/>
        <v>0</v>
      </c>
    </row>
    <row r="830" spans="1:10" hidden="1" x14ac:dyDescent="0.25">
      <c r="A830" s="441" t="str">
        <f t="shared" si="21"/>
        <v>Residential_Building Shell_Basement Sidewall Insulation (Electric Heat)_29.3</v>
      </c>
      <c r="B830" t="s">
        <v>1095</v>
      </c>
      <c r="C830" t="s">
        <v>1099</v>
      </c>
      <c r="D830" t="s">
        <v>1361</v>
      </c>
      <c r="E830" s="444">
        <v>29.3</v>
      </c>
      <c r="F830" s="454">
        <v>29.3</v>
      </c>
      <c r="H830" s="441" t="s">
        <v>1363</v>
      </c>
      <c r="I830" s="441" t="s">
        <v>1364</v>
      </c>
      <c r="J830" s="441" t="b">
        <f t="shared" si="20"/>
        <v>0</v>
      </c>
    </row>
    <row r="831" spans="1:10" hidden="1" x14ac:dyDescent="0.25">
      <c r="A831" s="441" t="str">
        <f t="shared" si="21"/>
        <v>Residential_Building Shell_Basement Sidewall Insulation (Electric Heat)_Delta_kWh_heatingGas</v>
      </c>
      <c r="B831" t="s">
        <v>1095</v>
      </c>
      <c r="C831" t="s">
        <v>1099</v>
      </c>
      <c r="D831" t="s">
        <v>1361</v>
      </c>
      <c r="E831" s="442" t="s">
        <v>1315</v>
      </c>
      <c r="F831" s="453" t="e">
        <f>F827*F829*F830</f>
        <v>#DIV/0!</v>
      </c>
      <c r="H831" s="441" t="s">
        <v>1363</v>
      </c>
      <c r="I831" s="441" t="s">
        <v>1364</v>
      </c>
      <c r="J831" s="441" t="b">
        <f t="shared" si="20"/>
        <v>1</v>
      </c>
    </row>
    <row r="832" spans="1:10" hidden="1" x14ac:dyDescent="0.25">
      <c r="A832" s="441" t="str">
        <f t="shared" si="21"/>
        <v>Residential_Building Shell_Basement Sidewall Insulation (Electric Heat)_Delta_kWh_heatingGas_Mid-Life_Adj</v>
      </c>
      <c r="B832" t="s">
        <v>1095</v>
      </c>
      <c r="C832" t="s">
        <v>1099</v>
      </c>
      <c r="D832" t="s">
        <v>1361</v>
      </c>
      <c r="E832" s="442" t="s">
        <v>1316</v>
      </c>
      <c r="F832" s="453" t="e">
        <f>F828*F829*F830</f>
        <v>#DIV/0!</v>
      </c>
      <c r="H832" s="441" t="s">
        <v>1363</v>
      </c>
      <c r="I832" s="441" t="s">
        <v>1364</v>
      </c>
      <c r="J832" s="441" t="b">
        <f t="shared" si="20"/>
        <v>1</v>
      </c>
    </row>
    <row r="833" spans="1:10" hidden="1" x14ac:dyDescent="0.25">
      <c r="A833" s="441" t="str">
        <f t="shared" si="21"/>
        <v>Residential_Building Shell_Basement Sidewall Insulation (Electric Heat)_FLH_cooling</v>
      </c>
      <c r="B833" t="s">
        <v>1095</v>
      </c>
      <c r="C833" t="s">
        <v>1099</v>
      </c>
      <c r="D833" t="s">
        <v>1361</v>
      </c>
      <c r="E833" s="444" t="s">
        <v>1317</v>
      </c>
      <c r="F833" s="464">
        <f>INDEX('[18]CZ Inputs'!G:G,MATCH(A833&amp;"_"&amp;[18]Dashboard_EE!$K$3,'[18]CZ Inputs'!A:A,0))</f>
        <v>779</v>
      </c>
      <c r="G833" s="441" t="s">
        <v>1297</v>
      </c>
      <c r="H833" s="441" t="s">
        <v>1363</v>
      </c>
      <c r="I833" s="441" t="s">
        <v>1364</v>
      </c>
      <c r="J833" s="441" t="b">
        <f t="shared" si="20"/>
        <v>1</v>
      </c>
    </row>
    <row r="834" spans="1:10" hidden="1" x14ac:dyDescent="0.25">
      <c r="A834" s="441" t="str">
        <f t="shared" si="21"/>
        <v>Residential_Building Shell_Basement Sidewall Insulation (Electric Heat)_CF</v>
      </c>
      <c r="B834" t="s">
        <v>1095</v>
      </c>
      <c r="C834" t="s">
        <v>1099</v>
      </c>
      <c r="D834" t="s">
        <v>1361</v>
      </c>
      <c r="E834" s="444" t="s">
        <v>1153</v>
      </c>
      <c r="F834" s="454">
        <v>0.68</v>
      </c>
      <c r="G834" s="441" t="s">
        <v>1195</v>
      </c>
      <c r="H834" s="441" t="s">
        <v>1363</v>
      </c>
      <c r="I834" s="441" t="s">
        <v>1364</v>
      </c>
      <c r="J834" s="441" t="b">
        <f t="shared" si="20"/>
        <v>0</v>
      </c>
    </row>
    <row r="835" spans="1:10" hidden="1" x14ac:dyDescent="0.25">
      <c r="A835" s="441" t="str">
        <f t="shared" si="21"/>
        <v>Residential_Building Shell_Basement Sidewall Insulation (Electric Heat)_Delta_kW</v>
      </c>
      <c r="B835" t="s">
        <v>1095</v>
      </c>
      <c r="C835" t="s">
        <v>1099</v>
      </c>
      <c r="D835" t="s">
        <v>1361</v>
      </c>
      <c r="E835" s="442" t="s">
        <v>1155</v>
      </c>
      <c r="F835" s="453" t="e">
        <f>(F803/F833)*F834</f>
        <v>#DIV/0!</v>
      </c>
      <c r="H835" s="441" t="s">
        <v>1363</v>
      </c>
      <c r="I835" s="441" t="s">
        <v>1364</v>
      </c>
      <c r="J835" s="441" t="b">
        <f t="shared" si="20"/>
        <v>1</v>
      </c>
    </row>
    <row r="836" spans="1:10" hidden="1" x14ac:dyDescent="0.25">
      <c r="A836" s="441" t="str">
        <f t="shared" si="21"/>
        <v>Residential_Building Shell_Basement Sidewall Insulation (Electric Heat)_Delta_kW_Mid-Life_Adj</v>
      </c>
      <c r="B836" t="s">
        <v>1095</v>
      </c>
      <c r="C836" t="s">
        <v>1099</v>
      </c>
      <c r="D836" t="s">
        <v>1361</v>
      </c>
      <c r="E836" s="442" t="s">
        <v>1318</v>
      </c>
      <c r="F836" s="453" t="e">
        <f>(F804/F833)*F834</f>
        <v>#DIV/0!</v>
      </c>
      <c r="H836" s="441" t="s">
        <v>1363</v>
      </c>
      <c r="I836" s="441" t="s">
        <v>1364</v>
      </c>
      <c r="J836" s="441" t="b">
        <f t="shared" si="20"/>
        <v>1</v>
      </c>
    </row>
    <row r="837" spans="1:10" hidden="1" x14ac:dyDescent="0.25">
      <c r="A837" s="441" t="str">
        <f t="shared" si="21"/>
        <v>Residential_Building Shell_Basement Sidewall Insulation (Electric Heat)_R_old_AG</v>
      </c>
      <c r="B837" t="s">
        <v>1095</v>
      </c>
      <c r="C837" t="s">
        <v>1099</v>
      </c>
      <c r="D837" t="s">
        <v>1361</v>
      </c>
      <c r="E837" s="444" t="s">
        <v>1362</v>
      </c>
      <c r="F837" s="454">
        <f>[18]Dashboard_FS!$O$21</f>
        <v>1</v>
      </c>
      <c r="G837" s="441" t="s">
        <v>1219</v>
      </c>
      <c r="H837" s="441" t="s">
        <v>1363</v>
      </c>
      <c r="I837" s="441" t="s">
        <v>1364</v>
      </c>
      <c r="J837" s="441" t="b">
        <f t="shared" si="20"/>
        <v>1</v>
      </c>
    </row>
    <row r="838" spans="1:10" hidden="1" x14ac:dyDescent="0.25">
      <c r="A838" s="441" t="str">
        <f t="shared" si="21"/>
        <v>Residential_Building Shell_Basement Sidewall Insulation (Electric Heat)_R_added</v>
      </c>
      <c r="B838" t="s">
        <v>1095</v>
      </c>
      <c r="C838" t="s">
        <v>1099</v>
      </c>
      <c r="D838" t="s">
        <v>1361</v>
      </c>
      <c r="E838" s="444" t="s">
        <v>1365</v>
      </c>
      <c r="F838" s="454">
        <f>[18]Dashboard_FS!$P$21</f>
        <v>0</v>
      </c>
      <c r="G838" s="441" t="s">
        <v>1366</v>
      </c>
      <c r="H838" s="441" t="s">
        <v>1363</v>
      </c>
      <c r="I838" s="441" t="s">
        <v>1364</v>
      </c>
      <c r="J838" s="441" t="b">
        <f t="shared" si="20"/>
        <v>1</v>
      </c>
    </row>
    <row r="839" spans="1:10" hidden="1" x14ac:dyDescent="0.25">
      <c r="A839" s="441" t="str">
        <f t="shared" si="21"/>
        <v>Residential_Building Shell_Basement Sidewall Insulation (Electric Heat)_R_old_AG</v>
      </c>
      <c r="B839" t="s">
        <v>1095</v>
      </c>
      <c r="C839" t="s">
        <v>1099</v>
      </c>
      <c r="D839" t="s">
        <v>1361</v>
      </c>
      <c r="E839" s="444" t="s">
        <v>1362</v>
      </c>
      <c r="F839" s="454">
        <f>[18]Dashboard_FS!$O$21</f>
        <v>1</v>
      </c>
      <c r="G839" s="441" t="s">
        <v>1219</v>
      </c>
      <c r="H839" s="441" t="s">
        <v>1363</v>
      </c>
      <c r="I839" s="441" t="s">
        <v>1364</v>
      </c>
      <c r="J839" s="441" t="b">
        <f t="shared" si="20"/>
        <v>1</v>
      </c>
    </row>
    <row r="840" spans="1:10" hidden="1" x14ac:dyDescent="0.25">
      <c r="A840" s="441" t="str">
        <f t="shared" si="21"/>
        <v>Residential_Building Shell_Basement Sidewall Insulation (Electric Heat)_L_basement_wall_total</v>
      </c>
      <c r="B840" t="s">
        <v>1095</v>
      </c>
      <c r="C840" t="s">
        <v>1099</v>
      </c>
      <c r="D840" t="s">
        <v>1361</v>
      </c>
      <c r="E840" s="442" t="s">
        <v>1367</v>
      </c>
      <c r="F840" s="453">
        <f>[18]Dashboard_FS!$O$10</f>
        <v>0</v>
      </c>
      <c r="G840" s="441" t="s">
        <v>1289</v>
      </c>
      <c r="H840" s="441" t="s">
        <v>1363</v>
      </c>
      <c r="I840" s="441" t="s">
        <v>1364</v>
      </c>
      <c r="J840" s="441" t="b">
        <f t="shared" si="20"/>
        <v>1</v>
      </c>
    </row>
    <row r="841" spans="1:10" hidden="1" x14ac:dyDescent="0.25">
      <c r="A841" s="441" t="str">
        <f t="shared" si="21"/>
        <v>Residential_Building Shell_Basement Sidewall Insulation (Electric Heat)_H_basement_wall_AG</v>
      </c>
      <c r="B841" t="s">
        <v>1095</v>
      </c>
      <c r="C841" t="s">
        <v>1099</v>
      </c>
      <c r="D841" t="s">
        <v>1361</v>
      </c>
      <c r="E841" s="442" t="s">
        <v>1368</v>
      </c>
      <c r="F841" s="453">
        <f>[18]Dashboard_FS!$O$11</f>
        <v>1</v>
      </c>
      <c r="G841" s="441" t="s">
        <v>1366</v>
      </c>
      <c r="H841" s="441" t="s">
        <v>1363</v>
      </c>
      <c r="I841" s="441" t="s">
        <v>1364</v>
      </c>
      <c r="J841" s="441" t="b">
        <f t="shared" si="20"/>
        <v>1</v>
      </c>
    </row>
    <row r="842" spans="1:10" hidden="1" x14ac:dyDescent="0.25">
      <c r="A842" s="441" t="str">
        <f t="shared" si="21"/>
        <v>Residential_Building Shell_Basement Sidewall Insulation (Electric Heat)_Framing_factor</v>
      </c>
      <c r="B842" t="s">
        <v>1095</v>
      </c>
      <c r="C842" t="s">
        <v>1099</v>
      </c>
      <c r="D842" t="s">
        <v>1361</v>
      </c>
      <c r="E842" s="444" t="s">
        <v>1369</v>
      </c>
      <c r="F842" s="454">
        <v>0.25</v>
      </c>
      <c r="G842" s="441" t="s">
        <v>1370</v>
      </c>
      <c r="H842" s="441" t="s">
        <v>1363</v>
      </c>
      <c r="I842" s="441" t="s">
        <v>1364</v>
      </c>
      <c r="J842" s="441" t="b">
        <f t="shared" si="20"/>
        <v>0</v>
      </c>
    </row>
    <row r="843" spans="1:10" hidden="1" x14ac:dyDescent="0.25">
      <c r="A843" s="441" t="str">
        <f t="shared" si="21"/>
        <v>Residential_Building Shell_Basement Sidewall Insulation (Electric Heat)_R_old_BG</v>
      </c>
      <c r="B843" t="s">
        <v>1095</v>
      </c>
      <c r="C843" t="s">
        <v>1099</v>
      </c>
      <c r="D843" t="s">
        <v>1361</v>
      </c>
      <c r="E843" s="444" t="s">
        <v>1371</v>
      </c>
      <c r="F843" s="454">
        <v>7.42</v>
      </c>
      <c r="G843" s="441" t="s">
        <v>1372</v>
      </c>
      <c r="H843" s="441" t="s">
        <v>1363</v>
      </c>
      <c r="I843" s="441" t="s">
        <v>1364</v>
      </c>
      <c r="J843" s="441" t="b">
        <f t="shared" si="20"/>
        <v>0</v>
      </c>
    </row>
    <row r="844" spans="1:10" hidden="1" x14ac:dyDescent="0.25">
      <c r="A844" s="441" t="str">
        <f t="shared" si="21"/>
        <v>Residential_Building Shell_Basement Sidewall Insulation (Electric Heat)_R_added</v>
      </c>
      <c r="B844" t="s">
        <v>1095</v>
      </c>
      <c r="C844" t="s">
        <v>1099</v>
      </c>
      <c r="D844" t="s">
        <v>1361</v>
      </c>
      <c r="E844" s="444" t="s">
        <v>1365</v>
      </c>
      <c r="F844" s="454">
        <f>[18]Dashboard_FS!$P$21</f>
        <v>0</v>
      </c>
      <c r="G844" s="441" t="s">
        <v>1366</v>
      </c>
      <c r="H844" s="441" t="s">
        <v>1363</v>
      </c>
      <c r="I844" s="441" t="s">
        <v>1364</v>
      </c>
      <c r="J844" s="441" t="b">
        <f t="shared" si="20"/>
        <v>1</v>
      </c>
    </row>
    <row r="845" spans="1:10" hidden="1" x14ac:dyDescent="0.25">
      <c r="A845" s="441" t="str">
        <f t="shared" si="21"/>
        <v>Residential_Building Shell_Basement Sidewall Insulation (Electric Heat)_R_old_BG</v>
      </c>
      <c r="B845" t="s">
        <v>1095</v>
      </c>
      <c r="C845" t="s">
        <v>1099</v>
      </c>
      <c r="D845" t="s">
        <v>1361</v>
      </c>
      <c r="E845" s="444" t="s">
        <v>1371</v>
      </c>
      <c r="F845" s="454">
        <v>7.42</v>
      </c>
      <c r="G845" s="441" t="s">
        <v>1372</v>
      </c>
      <c r="H845" s="441" t="s">
        <v>1363</v>
      </c>
      <c r="I845" s="441" t="s">
        <v>1364</v>
      </c>
      <c r="J845" s="441" t="b">
        <f t="shared" si="20"/>
        <v>0</v>
      </c>
    </row>
    <row r="846" spans="1:10" hidden="1" x14ac:dyDescent="0.25">
      <c r="A846" s="441" t="str">
        <f t="shared" si="21"/>
        <v>Residential_Building Shell_Basement Sidewall Insulation (Electric Heat)_L_basement_wall_total</v>
      </c>
      <c r="B846" t="s">
        <v>1095</v>
      </c>
      <c r="C846" t="s">
        <v>1099</v>
      </c>
      <c r="D846" t="s">
        <v>1361</v>
      </c>
      <c r="E846" s="442" t="s">
        <v>1367</v>
      </c>
      <c r="F846" s="453">
        <f>[18]Dashboard_FS!$O$10</f>
        <v>0</v>
      </c>
      <c r="G846" s="441" t="s">
        <v>1289</v>
      </c>
      <c r="H846" s="441" t="s">
        <v>1363</v>
      </c>
      <c r="I846" s="441" t="s">
        <v>1364</v>
      </c>
      <c r="J846" s="441" t="b">
        <f t="shared" si="20"/>
        <v>1</v>
      </c>
    </row>
    <row r="847" spans="1:10" hidden="1" x14ac:dyDescent="0.25">
      <c r="A847" s="441" t="str">
        <f t="shared" si="21"/>
        <v>Residential_Building Shell_Basement Sidewall Insulation (Electric Heat)_H_basement_wall_total</v>
      </c>
      <c r="B847" t="s">
        <v>1095</v>
      </c>
      <c r="C847" t="s">
        <v>1099</v>
      </c>
      <c r="D847" t="s">
        <v>1361</v>
      </c>
      <c r="E847" s="442" t="s">
        <v>1373</v>
      </c>
      <c r="F847" s="453">
        <f>[18]Dashboard_FS!$O$12</f>
        <v>3</v>
      </c>
      <c r="G847" s="441" t="s">
        <v>1366</v>
      </c>
      <c r="H847" s="441" t="s">
        <v>1363</v>
      </c>
      <c r="I847" s="441" t="s">
        <v>1364</v>
      </c>
      <c r="J847" s="441" t="b">
        <f t="shared" ref="J847:J910" si="22">_xlfn.ISFORMULA(F847)</f>
        <v>1</v>
      </c>
    </row>
    <row r="848" spans="1:10" hidden="1" x14ac:dyDescent="0.25">
      <c r="A848" s="441" t="str">
        <f t="shared" si="21"/>
        <v>Residential_Building Shell_Basement Sidewall Insulation (Electric Heat)_H_basement_wall_AG</v>
      </c>
      <c r="B848" t="s">
        <v>1095</v>
      </c>
      <c r="C848" t="s">
        <v>1099</v>
      </c>
      <c r="D848" t="s">
        <v>1361</v>
      </c>
      <c r="E848" s="442" t="s">
        <v>1368</v>
      </c>
      <c r="F848" s="453">
        <f>[18]Dashboard_FS!$O$11</f>
        <v>1</v>
      </c>
      <c r="G848" s="441" t="s">
        <v>1366</v>
      </c>
      <c r="H848" s="441" t="s">
        <v>1363</v>
      </c>
      <c r="I848" s="441" t="s">
        <v>1364</v>
      </c>
      <c r="J848" s="441" t="b">
        <f t="shared" si="22"/>
        <v>1</v>
      </c>
    </row>
    <row r="849" spans="1:10" hidden="1" x14ac:dyDescent="0.25">
      <c r="A849" s="441" t="str">
        <f t="shared" si="21"/>
        <v>Residential_Building Shell_Basement Sidewall Insulation (Electric Heat)_Framing_factor</v>
      </c>
      <c r="B849" t="s">
        <v>1095</v>
      </c>
      <c r="C849" t="s">
        <v>1099</v>
      </c>
      <c r="D849" t="s">
        <v>1361</v>
      </c>
      <c r="E849" s="444" t="s">
        <v>1369</v>
      </c>
      <c r="F849" s="454">
        <v>0.25</v>
      </c>
      <c r="G849" s="441" t="s">
        <v>1370</v>
      </c>
      <c r="H849" s="441" t="s">
        <v>1363</v>
      </c>
      <c r="I849" s="441" t="s">
        <v>1364</v>
      </c>
      <c r="J849" s="441" t="b">
        <f t="shared" si="22"/>
        <v>0</v>
      </c>
    </row>
    <row r="850" spans="1:10" hidden="1" x14ac:dyDescent="0.25">
      <c r="A850" s="441" t="str">
        <f t="shared" si="21"/>
        <v>Residential_Building Shell_Basement Sidewall Insulation (Electric Heat)_24</v>
      </c>
      <c r="B850" t="s">
        <v>1095</v>
      </c>
      <c r="C850" t="s">
        <v>1099</v>
      </c>
      <c r="D850" t="s">
        <v>1361</v>
      </c>
      <c r="E850" s="444">
        <v>24</v>
      </c>
      <c r="F850" s="454">
        <v>24</v>
      </c>
      <c r="H850" s="441" t="s">
        <v>1363</v>
      </c>
      <c r="I850" s="441" t="s">
        <v>1364</v>
      </c>
      <c r="J850" s="441" t="b">
        <f t="shared" si="22"/>
        <v>0</v>
      </c>
    </row>
    <row r="851" spans="1:10" hidden="1" x14ac:dyDescent="0.25">
      <c r="A851" s="441" t="str">
        <f t="shared" si="21"/>
        <v>Residential_Building Shell_Basement Sidewall Insulation (Electric Heat)_HDD</v>
      </c>
      <c r="B851" t="s">
        <v>1095</v>
      </c>
      <c r="C851" t="s">
        <v>1099</v>
      </c>
      <c r="D851" t="s">
        <v>1361</v>
      </c>
      <c r="E851" s="444" t="s">
        <v>1308</v>
      </c>
      <c r="F851" s="464">
        <f>INDEX('[18]CZ Inputs'!G:G,MATCH(A851&amp;"_"&amp;[18]Dashboard_EE!$K$3,'[18]CZ Inputs'!A:A,0))</f>
        <v>2456</v>
      </c>
      <c r="G851" s="441" t="s">
        <v>1358</v>
      </c>
      <c r="H851" s="441" t="s">
        <v>1363</v>
      </c>
      <c r="I851" s="441" t="s">
        <v>1364</v>
      </c>
      <c r="J851" s="441" t="b">
        <f t="shared" si="22"/>
        <v>1</v>
      </c>
    </row>
    <row r="852" spans="1:10" hidden="1" x14ac:dyDescent="0.25">
      <c r="A852" s="441" t="str">
        <f t="shared" si="21"/>
        <v>Residential_Building Shell_Basement Sidewall Insulation (Electric Heat)_ηHeat</v>
      </c>
      <c r="B852" t="s">
        <v>1095</v>
      </c>
      <c r="C852" t="s">
        <v>1099</v>
      </c>
      <c r="D852" t="s">
        <v>1361</v>
      </c>
      <c r="E852" s="442" t="s">
        <v>1309</v>
      </c>
      <c r="F852" s="453">
        <f>[18]Dashboard_FS!$K$8</f>
        <v>0</v>
      </c>
      <c r="G852" s="441" t="s">
        <v>1116</v>
      </c>
      <c r="H852" s="441" t="s">
        <v>1363</v>
      </c>
      <c r="I852" s="441" t="s">
        <v>1364</v>
      </c>
      <c r="J852" s="441" t="b">
        <f t="shared" si="22"/>
        <v>1</v>
      </c>
    </row>
    <row r="853" spans="1:10" hidden="1" x14ac:dyDescent="0.25">
      <c r="A853" s="441" t="str">
        <f t="shared" si="21"/>
        <v>Residential_Building Shell_Basement Sidewall Insulation (Electric Heat)_ηHeat_Mid-Life_Adj</v>
      </c>
      <c r="B853" t="s">
        <v>1095</v>
      </c>
      <c r="C853" t="s">
        <v>1099</v>
      </c>
      <c r="D853" t="s">
        <v>1361</v>
      </c>
      <c r="E853" s="442" t="s">
        <v>1310</v>
      </c>
      <c r="F853" s="453">
        <f>[18]Dashboard_FS!$K$8</f>
        <v>0</v>
      </c>
      <c r="G853" s="441" t="s">
        <v>1116</v>
      </c>
      <c r="H853" s="441" t="s">
        <v>1363</v>
      </c>
      <c r="I853" s="441" t="s">
        <v>1364</v>
      </c>
      <c r="J853" s="441" t="b">
        <f t="shared" si="22"/>
        <v>1</v>
      </c>
    </row>
    <row r="854" spans="1:10" hidden="1" x14ac:dyDescent="0.25">
      <c r="A854" s="441" t="str">
        <f t="shared" si="21"/>
        <v>Residential_Building Shell_Basement Sidewall Insulation (Electric Heat)_100000</v>
      </c>
      <c r="B854" t="s">
        <v>1095</v>
      </c>
      <c r="C854" t="s">
        <v>1099</v>
      </c>
      <c r="D854" t="s">
        <v>1361</v>
      </c>
      <c r="E854" s="444">
        <v>100000</v>
      </c>
      <c r="F854" s="454">
        <v>100000</v>
      </c>
      <c r="H854" s="441" t="s">
        <v>1363</v>
      </c>
      <c r="I854" s="441" t="s">
        <v>1364</v>
      </c>
      <c r="J854" s="441" t="b">
        <f t="shared" si="22"/>
        <v>0</v>
      </c>
    </row>
    <row r="855" spans="1:10" hidden="1" x14ac:dyDescent="0.25">
      <c r="A855" s="441" t="str">
        <f t="shared" si="21"/>
        <v>Residential_Building Shell_Basement Sidewall Insulation (Electric Heat)_ADJBasementHeat</v>
      </c>
      <c r="B855" t="s">
        <v>1095</v>
      </c>
      <c r="C855" t="s">
        <v>1099</v>
      </c>
      <c r="D855" t="s">
        <v>1361</v>
      </c>
      <c r="E855" s="444" t="s">
        <v>1360</v>
      </c>
      <c r="F855" s="464">
        <v>0.63</v>
      </c>
      <c r="H855" s="441" t="s">
        <v>1363</v>
      </c>
      <c r="I855" s="441" t="s">
        <v>1364</v>
      </c>
      <c r="J855" s="441" t="b">
        <f t="shared" si="22"/>
        <v>0</v>
      </c>
    </row>
    <row r="856" spans="1:10" hidden="1" x14ac:dyDescent="0.25">
      <c r="A856" s="441" t="str">
        <f t="shared" si="21"/>
        <v>Residential_Building Shell_Basement Sidewall Insulation (Electric Heat)_%GasHeat</v>
      </c>
      <c r="B856" t="s">
        <v>1095</v>
      </c>
      <c r="C856" t="s">
        <v>1099</v>
      </c>
      <c r="D856" t="s">
        <v>1361</v>
      </c>
      <c r="E856" s="444" t="s">
        <v>1338</v>
      </c>
      <c r="F856" s="454">
        <v>0</v>
      </c>
      <c r="G856" s="441" t="s">
        <v>1311</v>
      </c>
      <c r="H856" s="441" t="s">
        <v>1363</v>
      </c>
      <c r="I856" s="441" t="s">
        <v>1364</v>
      </c>
      <c r="J856" s="441" t="b">
        <f t="shared" si="22"/>
        <v>0</v>
      </c>
    </row>
    <row r="857" spans="1:10" hidden="1" x14ac:dyDescent="0.25">
      <c r="A857" s="441" t="str">
        <f t="shared" si="21"/>
        <v>Residential_Building Shell_Basement Sidewall Insulation (Electric Heat)_Delta_Therms</v>
      </c>
      <c r="B857" t="s">
        <v>1095</v>
      </c>
      <c r="C857" t="s">
        <v>1099</v>
      </c>
      <c r="D857" t="s">
        <v>1361</v>
      </c>
      <c r="E857" s="442" t="s">
        <v>1229</v>
      </c>
      <c r="F857" s="453" t="e">
        <f xml:space="preserve"> (((((1/ F837 - 1/ (F838 + F839)) * F840 * F841 * (1 - F842)) + ((1/ F843 - 1/ (F844 + F845)) * F846 * (F847 - F848) * (1 - F849))) * F850 * F851) / (F852 * F854)) * F855 * F856</f>
        <v>#DIV/0!</v>
      </c>
      <c r="H857" s="441" t="s">
        <v>1363</v>
      </c>
      <c r="I857" s="441" t="s">
        <v>1364</v>
      </c>
      <c r="J857" s="441" t="b">
        <f t="shared" si="22"/>
        <v>1</v>
      </c>
    </row>
    <row r="858" spans="1:10" hidden="1" x14ac:dyDescent="0.25">
      <c r="A858" s="441" t="str">
        <f t="shared" si="21"/>
        <v>Residential_Building Shell_Basement Sidewall Insulation (Electric Heat)_Delta_Therms_Mid-Life_Adj</v>
      </c>
      <c r="B858" t="s">
        <v>1095</v>
      </c>
      <c r="C858" t="s">
        <v>1099</v>
      </c>
      <c r="D858" t="s">
        <v>1361</v>
      </c>
      <c r="E858" s="442" t="s">
        <v>1348</v>
      </c>
      <c r="F858" s="453" t="e">
        <f xml:space="preserve"> (((((1/ F837 - 1/ (F838 + F839)) * F840 * F841 * (1 - F842)) + ((1/ F843 - 1/ (F844 + F845)) * F846 * (F847 - F848) * (1 - F849))) * F850 * F851) / (F853 * F854)) * F855 * F856</f>
        <v>#DIV/0!</v>
      </c>
      <c r="H858" s="441" t="s">
        <v>1363</v>
      </c>
      <c r="I858" s="441" t="s">
        <v>1364</v>
      </c>
      <c r="J858" s="441" t="b">
        <f t="shared" si="22"/>
        <v>1</v>
      </c>
    </row>
    <row r="859" spans="1:10" hidden="1" x14ac:dyDescent="0.25">
      <c r="A859" s="441" t="str">
        <f t="shared" si="21"/>
        <v>Residential_Building Shell_Basement Sidewall Insulation (Electric Heat)_Remaining Year kWh</v>
      </c>
      <c r="B859" t="s">
        <v>1095</v>
      </c>
      <c r="C859" t="s">
        <v>1099</v>
      </c>
      <c r="D859" t="s">
        <v>1361</v>
      </c>
      <c r="E859" s="450" t="s">
        <v>1322</v>
      </c>
      <c r="F859" s="456" t="e">
        <f>F803+F825+F831</f>
        <v>#DIV/0!</v>
      </c>
      <c r="H859" s="441" t="s">
        <v>1363</v>
      </c>
      <c r="I859" s="441" t="s">
        <v>1364</v>
      </c>
      <c r="J859" s="441" t="b">
        <f t="shared" si="22"/>
        <v>1</v>
      </c>
    </row>
    <row r="860" spans="1:10" hidden="1" x14ac:dyDescent="0.25">
      <c r="A860" s="441" t="str">
        <f t="shared" si="21"/>
        <v>Residential_Building Shell_Basement Sidewall Insulation (Electric Heat)_kWh Saved per Unit</v>
      </c>
      <c r="B860" t="s">
        <v>1095</v>
      </c>
      <c r="C860" t="s">
        <v>1099</v>
      </c>
      <c r="D860" t="s">
        <v>1361</v>
      </c>
      <c r="E860" s="450" t="s">
        <v>1156</v>
      </c>
      <c r="F860" s="456" t="e">
        <f>F804+F826+F832</f>
        <v>#DIV/0!</v>
      </c>
      <c r="H860" s="441" t="s">
        <v>1363</v>
      </c>
      <c r="I860" s="441" t="s">
        <v>1364</v>
      </c>
      <c r="J860" s="441" t="b">
        <f t="shared" si="22"/>
        <v>1</v>
      </c>
    </row>
    <row r="861" spans="1:10" hidden="1" x14ac:dyDescent="0.25">
      <c r="A861" s="441" t="str">
        <f t="shared" si="21"/>
        <v>Residential_Building Shell_Basement Sidewall Insulation (Electric Heat)_Remaining Year kW</v>
      </c>
      <c r="B861" t="s">
        <v>1095</v>
      </c>
      <c r="C861" t="s">
        <v>1099</v>
      </c>
      <c r="D861" t="s">
        <v>1361</v>
      </c>
      <c r="E861" s="450" t="s">
        <v>1323</v>
      </c>
      <c r="F861" s="456" t="e">
        <f>F835</f>
        <v>#DIV/0!</v>
      </c>
      <c r="H861" s="441" t="s">
        <v>1363</v>
      </c>
      <c r="I861" s="441" t="s">
        <v>1364</v>
      </c>
      <c r="J861" s="441" t="b">
        <f t="shared" si="22"/>
        <v>1</v>
      </c>
    </row>
    <row r="862" spans="1:10" hidden="1" x14ac:dyDescent="0.25">
      <c r="A862" s="441" t="str">
        <f t="shared" si="21"/>
        <v>Residential_Building Shell_Basement Sidewall Insulation (Electric Heat)_Coincident Peak kW Saved per Unit</v>
      </c>
      <c r="B862" t="s">
        <v>1095</v>
      </c>
      <c r="C862" t="s">
        <v>1099</v>
      </c>
      <c r="D862" t="s">
        <v>1361</v>
      </c>
      <c r="E862" s="450" t="s">
        <v>1157</v>
      </c>
      <c r="F862" s="456" t="e">
        <f>F836</f>
        <v>#DIV/0!</v>
      </c>
      <c r="H862" s="441" t="s">
        <v>1363</v>
      </c>
      <c r="I862" s="441" t="s">
        <v>1364</v>
      </c>
      <c r="J862" s="441" t="b">
        <f t="shared" si="22"/>
        <v>1</v>
      </c>
    </row>
    <row r="863" spans="1:10" hidden="1" x14ac:dyDescent="0.25">
      <c r="A863" s="441" t="str">
        <f t="shared" si="21"/>
        <v>Residential_Building Shell_Basement Sidewall Insulation (Electric Heat)_Remaining Year Therms</v>
      </c>
      <c r="B863" t="s">
        <v>1095</v>
      </c>
      <c r="C863" t="s">
        <v>1099</v>
      </c>
      <c r="D863" t="s">
        <v>1361</v>
      </c>
      <c r="E863" s="450" t="s">
        <v>1324</v>
      </c>
      <c r="F863" s="456" t="e">
        <f>F857</f>
        <v>#DIV/0!</v>
      </c>
      <c r="H863" s="441" t="s">
        <v>1363</v>
      </c>
      <c r="I863" s="441" t="s">
        <v>1364</v>
      </c>
      <c r="J863" s="441" t="b">
        <f t="shared" si="22"/>
        <v>1</v>
      </c>
    </row>
    <row r="864" spans="1:10" hidden="1" x14ac:dyDescent="0.25">
      <c r="A864" s="441" t="str">
        <f t="shared" si="21"/>
        <v>Residential_Building Shell_Basement Sidewall Insulation (Electric Heat)_Therms Saved per Unit</v>
      </c>
      <c r="B864" t="s">
        <v>1095</v>
      </c>
      <c r="C864" t="s">
        <v>1099</v>
      </c>
      <c r="D864" t="s">
        <v>1361</v>
      </c>
      <c r="E864" s="450" t="s">
        <v>1251</v>
      </c>
      <c r="F864" s="456" t="e">
        <f>F858</f>
        <v>#DIV/0!</v>
      </c>
      <c r="H864" s="441" t="s">
        <v>1363</v>
      </c>
      <c r="I864" s="441" t="s">
        <v>1364</v>
      </c>
      <c r="J864" s="441" t="b">
        <f t="shared" si="22"/>
        <v>1</v>
      </c>
    </row>
    <row r="865" spans="1:10" hidden="1" x14ac:dyDescent="0.25">
      <c r="A865" s="441" t="str">
        <f t="shared" si="21"/>
        <v>Residential_Building Shell_Basement Sidewall Insulation (Electric Heat)_Remaining Life</v>
      </c>
      <c r="B865" t="s">
        <v>1095</v>
      </c>
      <c r="C865" t="s">
        <v>1099</v>
      </c>
      <c r="D865" t="s">
        <v>1361</v>
      </c>
      <c r="E865" s="450" t="s">
        <v>1325</v>
      </c>
      <c r="F865" s="456">
        <v>10</v>
      </c>
      <c r="H865" s="441" t="s">
        <v>1363</v>
      </c>
      <c r="I865" s="441" t="s">
        <v>1364</v>
      </c>
      <c r="J865" s="441" t="b">
        <f t="shared" si="22"/>
        <v>0</v>
      </c>
    </row>
    <row r="866" spans="1:10" hidden="1" x14ac:dyDescent="0.25">
      <c r="A866" s="441" t="str">
        <f t="shared" si="21"/>
        <v>Residential_Building Shell_Basement Sidewall Insulation (Electric Heat)_Lifetime (years)</v>
      </c>
      <c r="B866" t="s">
        <v>1095</v>
      </c>
      <c r="C866" t="s">
        <v>1099</v>
      </c>
      <c r="D866" t="s">
        <v>1361</v>
      </c>
      <c r="E866" s="450" t="s">
        <v>1160</v>
      </c>
      <c r="F866" s="457">
        <v>30</v>
      </c>
      <c r="H866" s="441" t="s">
        <v>1363</v>
      </c>
      <c r="I866" s="441" t="s">
        <v>1364</v>
      </c>
      <c r="J866" s="441" t="b">
        <f t="shared" si="22"/>
        <v>0</v>
      </c>
    </row>
    <row r="867" spans="1:10" hidden="1" x14ac:dyDescent="0.25">
      <c r="A867" s="441" t="str">
        <f t="shared" si="21"/>
        <v>Residential_Building Shell_Basement Sidewall Insulation (Electric Heat)_Incremental Cost</v>
      </c>
      <c r="B867" t="s">
        <v>1095</v>
      </c>
      <c r="C867" t="s">
        <v>1099</v>
      </c>
      <c r="D867" t="s">
        <v>1361</v>
      </c>
      <c r="E867" s="450" t="s">
        <v>1161</v>
      </c>
      <c r="F867" s="452">
        <f>2*F792</f>
        <v>0</v>
      </c>
      <c r="G867" s="441" t="s">
        <v>1326</v>
      </c>
      <c r="H867" s="441" t="s">
        <v>1363</v>
      </c>
      <c r="I867" s="441" t="s">
        <v>1364</v>
      </c>
      <c r="J867" s="441" t="b">
        <f t="shared" si="22"/>
        <v>1</v>
      </c>
    </row>
    <row r="868" spans="1:10" hidden="1" x14ac:dyDescent="0.25">
      <c r="A868" s="441" t="str">
        <f t="shared" si="21"/>
        <v>Residential_Building Shell_Basement Sidewall Insulation (Electric Heat)_BTU Impact_Existing_Fossil Fuel</v>
      </c>
      <c r="B868" t="s">
        <v>1095</v>
      </c>
      <c r="C868" t="s">
        <v>1099</v>
      </c>
      <c r="D868" t="s">
        <v>1361</v>
      </c>
      <c r="E868" s="450" t="s">
        <v>1163</v>
      </c>
      <c r="F868" s="451">
        <v>0</v>
      </c>
      <c r="H868" s="441" t="s">
        <v>1363</v>
      </c>
      <c r="I868" s="441" t="s">
        <v>1364</v>
      </c>
      <c r="J868" s="441" t="b">
        <f t="shared" si="22"/>
        <v>0</v>
      </c>
    </row>
    <row r="869" spans="1:10" hidden="1" x14ac:dyDescent="0.25">
      <c r="A869" s="441" t="str">
        <f t="shared" si="21"/>
        <v>Residential_Building Shell_Basement Sidewall Insulation (Electric Heat)_BTU Impact_Existing_Winter Electricity</v>
      </c>
      <c r="B869" t="s">
        <v>1095</v>
      </c>
      <c r="C869" t="s">
        <v>1099</v>
      </c>
      <c r="D869" t="s">
        <v>1361</v>
      </c>
      <c r="E869" s="450" t="s">
        <v>1164</v>
      </c>
      <c r="F869" s="451">
        <v>0</v>
      </c>
      <c r="H869" s="441" t="s">
        <v>1363</v>
      </c>
      <c r="I869" s="441" t="s">
        <v>1364</v>
      </c>
      <c r="J869" s="441" t="b">
        <f t="shared" si="22"/>
        <v>0</v>
      </c>
    </row>
    <row r="870" spans="1:10" hidden="1" x14ac:dyDescent="0.25">
      <c r="A870" s="441" t="str">
        <f t="shared" si="21"/>
        <v>Residential_Building Shell_Basement Sidewall Insulation (Electric Heat)_BTU Impact_Existing_Summer Electricity</v>
      </c>
      <c r="B870" t="s">
        <v>1095</v>
      </c>
      <c r="C870" t="s">
        <v>1099</v>
      </c>
      <c r="D870" t="s">
        <v>1361</v>
      </c>
      <c r="E870" s="450" t="s">
        <v>1165</v>
      </c>
      <c r="F870" s="451">
        <v>0</v>
      </c>
      <c r="H870" s="441" t="s">
        <v>1363</v>
      </c>
      <c r="I870" s="441" t="s">
        <v>1364</v>
      </c>
      <c r="J870" s="441" t="b">
        <f t="shared" si="22"/>
        <v>0</v>
      </c>
    </row>
    <row r="871" spans="1:10" hidden="1" x14ac:dyDescent="0.25">
      <c r="A871" s="441" t="str">
        <f t="shared" si="21"/>
        <v>Residential_Building Shell_Basement Sidewall Insulation (Electric Heat)_BTU Impact_New_Fossil Fuel</v>
      </c>
      <c r="B871" t="s">
        <v>1095</v>
      </c>
      <c r="C871" t="s">
        <v>1099</v>
      </c>
      <c r="D871" t="s">
        <v>1361</v>
      </c>
      <c r="E871" s="450" t="s">
        <v>1166</v>
      </c>
      <c r="F871" s="451">
        <v>0</v>
      </c>
      <c r="H871" s="441" t="s">
        <v>1363</v>
      </c>
      <c r="I871" s="441" t="s">
        <v>1364</v>
      </c>
      <c r="J871" s="441" t="b">
        <f t="shared" si="22"/>
        <v>0</v>
      </c>
    </row>
    <row r="872" spans="1:10" hidden="1" x14ac:dyDescent="0.25">
      <c r="A872" s="441" t="str">
        <f t="shared" si="21"/>
        <v>Residential_Building Shell_Basement Sidewall Insulation (Electric Heat)_BTU Impact_New_Winter Electricity</v>
      </c>
      <c r="B872" t="s">
        <v>1095</v>
      </c>
      <c r="C872" t="s">
        <v>1099</v>
      </c>
      <c r="D872" t="s">
        <v>1361</v>
      </c>
      <c r="E872" s="450" t="s">
        <v>1167</v>
      </c>
      <c r="F872" s="451" t="e">
        <f>-F825*3412</f>
        <v>#DIV/0!</v>
      </c>
      <c r="H872" s="441" t="s">
        <v>1363</v>
      </c>
      <c r="I872" s="441" t="s">
        <v>1364</v>
      </c>
      <c r="J872" s="441" t="b">
        <f t="shared" si="22"/>
        <v>1</v>
      </c>
    </row>
    <row r="873" spans="1:10" hidden="1" x14ac:dyDescent="0.25">
      <c r="A873" s="441" t="str">
        <f t="shared" si="21"/>
        <v>Residential_Building Shell_Basement Sidewall Insulation (Electric Heat)_BTU Impact_New_Summer Electricity</v>
      </c>
      <c r="B873" t="s">
        <v>1095</v>
      </c>
      <c r="C873" t="s">
        <v>1099</v>
      </c>
      <c r="D873" t="s">
        <v>1361</v>
      </c>
      <c r="E873" s="450" t="s">
        <v>1168</v>
      </c>
      <c r="F873" s="451" t="e">
        <f>-F803*3412</f>
        <v>#DIV/0!</v>
      </c>
      <c r="H873" s="441" t="s">
        <v>1363</v>
      </c>
      <c r="I873" s="441" t="s">
        <v>1364</v>
      </c>
      <c r="J873" s="441" t="b">
        <f t="shared" si="22"/>
        <v>1</v>
      </c>
    </row>
    <row r="874" spans="1:10" hidden="1" x14ac:dyDescent="0.25">
      <c r="A874" s="441" t="str">
        <f t="shared" si="21"/>
        <v>Residential_Building Shell_Basement Sidewall Insulation (Electric Heat)_</v>
      </c>
      <c r="B874" t="s">
        <v>1095</v>
      </c>
      <c r="C874" t="s">
        <v>1099</v>
      </c>
      <c r="D874" t="s">
        <v>1361</v>
      </c>
      <c r="H874" s="441" t="s">
        <v>1363</v>
      </c>
      <c r="I874" s="441" t="s">
        <v>1364</v>
      </c>
      <c r="J874" s="441" t="b">
        <f t="shared" si="22"/>
        <v>0</v>
      </c>
    </row>
    <row r="875" spans="1:10" hidden="1" x14ac:dyDescent="0.25">
      <c r="A875" s="441" t="str">
        <f t="shared" si="21"/>
        <v>Residential_HVAC_Furnace_EFLH</v>
      </c>
      <c r="B875" t="s">
        <v>1095</v>
      </c>
      <c r="C875" t="s">
        <v>91</v>
      </c>
      <c r="D875" t="s">
        <v>67</v>
      </c>
      <c r="E875" s="442" t="s">
        <v>1110</v>
      </c>
      <c r="F875" s="443">
        <f>INDEX('[18]CZ Inputs'!$G:$G,MATCH($A875&amp;"_"&amp;[18]Dashboard_FS!$K$3,'[18]CZ Inputs'!$A:$A,0))</f>
        <v>836</v>
      </c>
      <c r="H875" s="441" t="s">
        <v>1353</v>
      </c>
      <c r="I875" s="441" t="s">
        <v>1374</v>
      </c>
      <c r="J875" s="441" t="b">
        <f t="shared" si="22"/>
        <v>1</v>
      </c>
    </row>
    <row r="876" spans="1:10" hidden="1" x14ac:dyDescent="0.25">
      <c r="A876" s="441" t="str">
        <f t="shared" si="21"/>
        <v>Residential_HVAC_Gas High Efficiency Furnace_CAPInput</v>
      </c>
      <c r="B876" t="s">
        <v>1095</v>
      </c>
      <c r="C876" t="s">
        <v>91</v>
      </c>
      <c r="D876" t="s">
        <v>1375</v>
      </c>
      <c r="E876" s="442" t="s">
        <v>1376</v>
      </c>
      <c r="F876" s="453">
        <f>[18]Dashboard_FS!$K$10</f>
        <v>0</v>
      </c>
      <c r="G876" s="441" t="s">
        <v>1377</v>
      </c>
      <c r="H876" s="441" t="s">
        <v>1378</v>
      </c>
      <c r="I876" s="441" t="s">
        <v>1379</v>
      </c>
      <c r="J876" s="441" t="b">
        <f t="shared" si="22"/>
        <v>1</v>
      </c>
    </row>
    <row r="877" spans="1:10" hidden="1" x14ac:dyDescent="0.25">
      <c r="A877" s="441" t="str">
        <f t="shared" si="21"/>
        <v>Residential_HVAC_Gas High Efficiency Furnace_Derating(base)</v>
      </c>
      <c r="B877" t="s">
        <v>1095</v>
      </c>
      <c r="C877" t="s">
        <v>91</v>
      </c>
      <c r="D877" t="s">
        <v>1375</v>
      </c>
      <c r="E877" s="444" t="s">
        <v>1380</v>
      </c>
      <c r="F877" s="454">
        <v>6.4000000000000001E-2</v>
      </c>
      <c r="H877" s="441" t="s">
        <v>1378</v>
      </c>
      <c r="I877" s="441" t="s">
        <v>1379</v>
      </c>
      <c r="J877" s="441" t="b">
        <f t="shared" si="22"/>
        <v>0</v>
      </c>
    </row>
    <row r="878" spans="1:10" hidden="1" x14ac:dyDescent="0.25">
      <c r="A878" s="441" t="str">
        <f t="shared" si="21"/>
        <v>Residential_HVAC_Gas High Efficiency Furnace_AFUE(base)</v>
      </c>
      <c r="B878" t="s">
        <v>1095</v>
      </c>
      <c r="C878" t="s">
        <v>91</v>
      </c>
      <c r="D878" t="s">
        <v>1375</v>
      </c>
      <c r="E878" s="442" t="s">
        <v>1381</v>
      </c>
      <c r="F878" s="453">
        <f>[18]Dashboard_FS!$K$8</f>
        <v>0</v>
      </c>
      <c r="G878" s="441" t="s">
        <v>1382</v>
      </c>
      <c r="H878" s="441" t="s">
        <v>1378</v>
      </c>
      <c r="I878" s="441" t="s">
        <v>1379</v>
      </c>
      <c r="J878" s="441" t="b">
        <f t="shared" si="22"/>
        <v>1</v>
      </c>
    </row>
    <row r="879" spans="1:10" hidden="1" x14ac:dyDescent="0.25">
      <c r="A879" s="441" t="str">
        <f t="shared" si="21"/>
        <v>Residential_HVAC_Gas High Efficiency Furnace_100000</v>
      </c>
      <c r="B879" t="s">
        <v>1095</v>
      </c>
      <c r="C879" t="s">
        <v>91</v>
      </c>
      <c r="D879" t="s">
        <v>1375</v>
      </c>
      <c r="E879" s="444">
        <v>100000</v>
      </c>
      <c r="F879" s="454">
        <v>100000</v>
      </c>
      <c r="H879" s="441" t="s">
        <v>1378</v>
      </c>
      <c r="I879" s="441" t="s">
        <v>1379</v>
      </c>
      <c r="J879" s="441" t="b">
        <f t="shared" si="22"/>
        <v>0</v>
      </c>
    </row>
    <row r="880" spans="1:10" hidden="1" x14ac:dyDescent="0.25">
      <c r="A880" s="441" t="str">
        <f t="shared" si="21"/>
        <v>Residential_HVAC_Gas High Efficiency Furnace_EFLH</v>
      </c>
      <c r="B880" t="s">
        <v>1095</v>
      </c>
      <c r="C880" t="s">
        <v>91</v>
      </c>
      <c r="D880" t="s">
        <v>1375</v>
      </c>
      <c r="E880" s="442" t="s">
        <v>1110</v>
      </c>
      <c r="F880" s="443">
        <f>INDEX('[18]CZ Inputs'!$G:$G,MATCH($A880&amp;"_"&amp;[18]Dashboard_FS!$K$3,'[18]CZ Inputs'!$A:$A,0))</f>
        <v>836</v>
      </c>
      <c r="H880" s="441" t="s">
        <v>1378</v>
      </c>
      <c r="I880" s="441" t="s">
        <v>1379</v>
      </c>
      <c r="J880" s="441" t="b">
        <f t="shared" si="22"/>
        <v>1</v>
      </c>
    </row>
    <row r="881" spans="1:10" hidden="1" x14ac:dyDescent="0.25">
      <c r="A881" s="441" t="str">
        <f t="shared" si="21"/>
        <v>Residential_HVAC_Gas High Efficiency Furnace_CAPInput</v>
      </c>
      <c r="B881" t="s">
        <v>1095</v>
      </c>
      <c r="C881" t="s">
        <v>91</v>
      </c>
      <c r="D881" t="s">
        <v>1375</v>
      </c>
      <c r="E881" s="442" t="s">
        <v>1376</v>
      </c>
      <c r="F881" s="453">
        <f>[18]Dashboard_FS!$K$10</f>
        <v>0</v>
      </c>
      <c r="G881" s="441" t="s">
        <v>1066</v>
      </c>
      <c r="H881" s="441" t="s">
        <v>1378</v>
      </c>
      <c r="I881" s="441" t="s">
        <v>1379</v>
      </c>
      <c r="J881" s="441" t="b">
        <f t="shared" si="22"/>
        <v>1</v>
      </c>
    </row>
    <row r="882" spans="1:10" hidden="1" x14ac:dyDescent="0.25">
      <c r="A882" s="441" t="str">
        <f t="shared" si="21"/>
        <v>Residential_HVAC_Gas High Efficiency Furnace_Derating(eff)</v>
      </c>
      <c r="B882" t="s">
        <v>1095</v>
      </c>
      <c r="C882" t="s">
        <v>91</v>
      </c>
      <c r="D882" t="s">
        <v>1375</v>
      </c>
      <c r="E882" s="444" t="s">
        <v>1383</v>
      </c>
      <c r="F882" s="454">
        <v>6.4000000000000001E-2</v>
      </c>
      <c r="H882" s="441" t="s">
        <v>1378</v>
      </c>
      <c r="I882" s="441" t="s">
        <v>1379</v>
      </c>
      <c r="J882" s="441" t="b">
        <f t="shared" si="22"/>
        <v>0</v>
      </c>
    </row>
    <row r="883" spans="1:10" hidden="1" x14ac:dyDescent="0.25">
      <c r="A883" s="441" t="str">
        <f t="shared" si="21"/>
        <v>Residential_HVAC_Gas High Efficiency Furnace_AFUE(eff)</v>
      </c>
      <c r="B883" t="s">
        <v>1095</v>
      </c>
      <c r="C883" t="s">
        <v>91</v>
      </c>
      <c r="D883" t="s">
        <v>1375</v>
      </c>
      <c r="E883" s="442" t="s">
        <v>1384</v>
      </c>
      <c r="F883" s="453">
        <f>[18]Dashboard_FS!$K$7</f>
        <v>0</v>
      </c>
      <c r="G883" s="441" t="s">
        <v>1061</v>
      </c>
      <c r="H883" s="441" t="s">
        <v>1378</v>
      </c>
      <c r="I883" s="441" t="s">
        <v>1379</v>
      </c>
      <c r="J883" s="441" t="b">
        <f t="shared" si="22"/>
        <v>1</v>
      </c>
    </row>
    <row r="884" spans="1:10" hidden="1" x14ac:dyDescent="0.25">
      <c r="A884" s="441" t="str">
        <f t="shared" si="21"/>
        <v>Residential_HVAC_Gas High Efficiency Furnace_100000</v>
      </c>
      <c r="B884" t="s">
        <v>1095</v>
      </c>
      <c r="C884" t="s">
        <v>91</v>
      </c>
      <c r="D884" t="s">
        <v>1375</v>
      </c>
      <c r="E884" s="444">
        <v>100000</v>
      </c>
      <c r="F884" s="454">
        <v>100000</v>
      </c>
      <c r="H884" s="441" t="s">
        <v>1378</v>
      </c>
      <c r="I884" s="441" t="s">
        <v>1379</v>
      </c>
      <c r="J884" s="441" t="b">
        <f t="shared" si="22"/>
        <v>0</v>
      </c>
    </row>
    <row r="885" spans="1:10" hidden="1" x14ac:dyDescent="0.25">
      <c r="A885" s="441" t="str">
        <f t="shared" si="21"/>
        <v>Residential_HVAC_Gas High Efficiency Furnace_Lifetime (years)</v>
      </c>
      <c r="B885" t="s">
        <v>1095</v>
      </c>
      <c r="C885" t="s">
        <v>91</v>
      </c>
      <c r="D885" t="s">
        <v>1375</v>
      </c>
      <c r="E885" s="450" t="s">
        <v>1160</v>
      </c>
      <c r="F885" s="468">
        <v>20</v>
      </c>
      <c r="H885" s="441" t="s">
        <v>1378</v>
      </c>
      <c r="I885" s="441" t="s">
        <v>1379</v>
      </c>
      <c r="J885" s="441" t="b">
        <f t="shared" si="22"/>
        <v>0</v>
      </c>
    </row>
    <row r="886" spans="1:10" hidden="1" x14ac:dyDescent="0.25">
      <c r="A886" s="441" t="str">
        <f t="shared" si="21"/>
        <v>Residential_HVAC_Gas High Efficiency Furnace_Incremental Cost</v>
      </c>
      <c r="B886" t="s">
        <v>1095</v>
      </c>
      <c r="C886" t="s">
        <v>91</v>
      </c>
      <c r="D886" t="s">
        <v>1375</v>
      </c>
      <c r="E886" s="450" t="s">
        <v>1161</v>
      </c>
      <c r="F886" s="469">
        <v>3449</v>
      </c>
      <c r="G886" s="441" t="s">
        <v>1385</v>
      </c>
      <c r="H886" s="441" t="s">
        <v>1378</v>
      </c>
      <c r="I886" s="441" t="s">
        <v>1379</v>
      </c>
      <c r="J886" s="441" t="b">
        <f t="shared" si="22"/>
        <v>0</v>
      </c>
    </row>
    <row r="887" spans="1:10" hidden="1" x14ac:dyDescent="0.25">
      <c r="A887" s="441" t="str">
        <f t="shared" si="21"/>
        <v>Residential_HVAC_Gas High Efficiency Furnace_BTU Impact_Existing_Fossil Fuel</v>
      </c>
      <c r="B887" t="s">
        <v>1095</v>
      </c>
      <c r="C887" t="s">
        <v>91</v>
      </c>
      <c r="D887" t="s">
        <v>1375</v>
      </c>
      <c r="E887" s="450" t="s">
        <v>1163</v>
      </c>
      <c r="F887" s="451" t="e">
        <f>-(F875*F876)*(1/(F878*(1-F877)))</f>
        <v>#DIV/0!</v>
      </c>
      <c r="H887" s="441" t="s">
        <v>1378</v>
      </c>
      <c r="I887" s="441" t="s">
        <v>1379</v>
      </c>
      <c r="J887" s="441" t="b">
        <f t="shared" si="22"/>
        <v>1</v>
      </c>
    </row>
    <row r="888" spans="1:10" hidden="1" x14ac:dyDescent="0.25">
      <c r="A888" s="441" t="str">
        <f t="shared" ref="A888:A910" si="23">B888&amp;"_"&amp;C888&amp;"_"&amp;D888&amp;"_"&amp;E888</f>
        <v>Residential_HVAC_Gas High Efficiency Furnace_BTU Impact_Existing_Winter Electricity</v>
      </c>
      <c r="B888" t="s">
        <v>1095</v>
      </c>
      <c r="C888" t="s">
        <v>91</v>
      </c>
      <c r="D888" t="s">
        <v>1375</v>
      </c>
      <c r="E888" s="450" t="s">
        <v>1164</v>
      </c>
      <c r="F888" s="451">
        <v>0</v>
      </c>
      <c r="H888" s="441" t="s">
        <v>1378</v>
      </c>
      <c r="I888" s="441" t="s">
        <v>1379</v>
      </c>
      <c r="J888" s="441" t="b">
        <f t="shared" si="22"/>
        <v>0</v>
      </c>
    </row>
    <row r="889" spans="1:10" hidden="1" x14ac:dyDescent="0.25">
      <c r="A889" s="441" t="str">
        <f t="shared" si="23"/>
        <v>Residential_HVAC_Gas High Efficiency Furnace_BTU Impact_Existing_Summer Electricity</v>
      </c>
      <c r="B889" t="s">
        <v>1095</v>
      </c>
      <c r="C889" t="s">
        <v>91</v>
      </c>
      <c r="D889" t="s">
        <v>1375</v>
      </c>
      <c r="E889" s="450" t="s">
        <v>1165</v>
      </c>
      <c r="F889" s="451">
        <v>0</v>
      </c>
      <c r="H889" s="441" t="s">
        <v>1378</v>
      </c>
      <c r="I889" s="441" t="s">
        <v>1379</v>
      </c>
      <c r="J889" s="441" t="b">
        <f t="shared" si="22"/>
        <v>0</v>
      </c>
    </row>
    <row r="890" spans="1:10" hidden="1" x14ac:dyDescent="0.25">
      <c r="A890" s="441" t="str">
        <f t="shared" si="23"/>
        <v>Residential_HVAC_Gas High Efficiency Furnace_BTU Impact_New_Fossil Fuel</v>
      </c>
      <c r="B890" t="s">
        <v>1095</v>
      </c>
      <c r="C890" t="s">
        <v>91</v>
      </c>
      <c r="D890" t="s">
        <v>1375</v>
      </c>
      <c r="E890" s="450" t="s">
        <v>1166</v>
      </c>
      <c r="F890" s="451" t="e">
        <f>(F880*F881)*(1/(F883*(1-F882)))</f>
        <v>#DIV/0!</v>
      </c>
      <c r="H890" s="441" t="s">
        <v>1378</v>
      </c>
      <c r="I890" s="441" t="s">
        <v>1379</v>
      </c>
      <c r="J890" s="441" t="b">
        <f t="shared" si="22"/>
        <v>1</v>
      </c>
    </row>
    <row r="891" spans="1:10" hidden="1" x14ac:dyDescent="0.25">
      <c r="A891" s="441" t="str">
        <f t="shared" si="23"/>
        <v>Residential_HVAC_Gas High Efficiency Furnace_BTU Impact_New_Winter Electricity</v>
      </c>
      <c r="B891" t="s">
        <v>1095</v>
      </c>
      <c r="C891" t="s">
        <v>91</v>
      </c>
      <c r="D891" t="s">
        <v>1375</v>
      </c>
      <c r="E891" s="450" t="s">
        <v>1167</v>
      </c>
      <c r="F891" s="451">
        <v>0</v>
      </c>
      <c r="H891" s="441" t="s">
        <v>1378</v>
      </c>
      <c r="I891" s="441" t="s">
        <v>1379</v>
      </c>
      <c r="J891" s="441" t="b">
        <f t="shared" si="22"/>
        <v>0</v>
      </c>
    </row>
    <row r="892" spans="1:10" hidden="1" x14ac:dyDescent="0.25">
      <c r="A892" s="441" t="str">
        <f t="shared" si="23"/>
        <v>Residential_HVAC_Gas High Efficiency Furnace_BTU Impact_New_Summer Electricity</v>
      </c>
      <c r="B892" t="s">
        <v>1095</v>
      </c>
      <c r="C892" t="s">
        <v>91</v>
      </c>
      <c r="D892" t="s">
        <v>1375</v>
      </c>
      <c r="E892" s="450" t="s">
        <v>1168</v>
      </c>
      <c r="F892" s="451">
        <v>0</v>
      </c>
      <c r="H892" s="441" t="s">
        <v>1378</v>
      </c>
      <c r="I892" s="441" t="s">
        <v>1379</v>
      </c>
      <c r="J892" s="441" t="b">
        <f t="shared" si="22"/>
        <v>0</v>
      </c>
    </row>
    <row r="893" spans="1:10" hidden="1" x14ac:dyDescent="0.25">
      <c r="A893" s="441" t="str">
        <f t="shared" si="23"/>
        <v>Residential_HVAC_Gas High Efficiency Furnace_</v>
      </c>
      <c r="B893" t="s">
        <v>1095</v>
      </c>
      <c r="C893" t="s">
        <v>91</v>
      </c>
      <c r="D893" t="s">
        <v>1375</v>
      </c>
      <c r="H893" s="441" t="s">
        <v>1378</v>
      </c>
      <c r="I893" s="441" t="s">
        <v>1379</v>
      </c>
      <c r="J893" s="441" t="b">
        <f t="shared" si="22"/>
        <v>0</v>
      </c>
    </row>
    <row r="894" spans="1:10" hidden="1" x14ac:dyDescent="0.25">
      <c r="A894" s="441" t="str">
        <f t="shared" si="23"/>
        <v>Residential_HVAC_Boiler_EFLH</v>
      </c>
      <c r="B894" t="s">
        <v>1095</v>
      </c>
      <c r="C894" t="s">
        <v>91</v>
      </c>
      <c r="D894" t="s">
        <v>69</v>
      </c>
      <c r="E894" s="442" t="s">
        <v>1110</v>
      </c>
      <c r="F894" s="443">
        <f>INDEX('[18]CZ Inputs'!$G:$G,MATCH($A894&amp;"_"&amp;[18]Dashboard_FS!$K$3,'[18]CZ Inputs'!$A:$A,0))</f>
        <v>836</v>
      </c>
      <c r="H894" s="441" t="s">
        <v>1386</v>
      </c>
      <c r="I894" s="441" t="s">
        <v>1387</v>
      </c>
      <c r="J894" s="441" t="b">
        <f>_xlfn.ISFORMULA(F894)</f>
        <v>1</v>
      </c>
    </row>
    <row r="895" spans="1:10" hidden="1" x14ac:dyDescent="0.25">
      <c r="A895" s="441" t="str">
        <f t="shared" si="23"/>
        <v>Residential_HVAC_Gas High Efficiency Boiler_CAPInput</v>
      </c>
      <c r="B895" t="s">
        <v>1095</v>
      </c>
      <c r="C895" t="s">
        <v>91</v>
      </c>
      <c r="D895" t="s">
        <v>1388</v>
      </c>
      <c r="E895" s="442" t="s">
        <v>1376</v>
      </c>
      <c r="F895" s="453">
        <f>[18]Dashboard_FS!$K$10</f>
        <v>0</v>
      </c>
      <c r="G895" s="441" t="s">
        <v>1377</v>
      </c>
      <c r="H895" s="441" t="s">
        <v>1386</v>
      </c>
      <c r="I895" s="441" t="s">
        <v>1387</v>
      </c>
      <c r="J895" s="441" t="b">
        <f>_xlfn.ISFORMULA(F895)</f>
        <v>1</v>
      </c>
    </row>
    <row r="896" spans="1:10" hidden="1" x14ac:dyDescent="0.25">
      <c r="A896" s="441" t="str">
        <f t="shared" si="23"/>
        <v>Residential_HVAC_Gas High Efficiency Boiler_AFUEBase</v>
      </c>
      <c r="B896" t="s">
        <v>1095</v>
      </c>
      <c r="C896" t="s">
        <v>91</v>
      </c>
      <c r="D896" t="s">
        <v>1388</v>
      </c>
      <c r="E896" s="442" t="s">
        <v>1389</v>
      </c>
      <c r="F896" s="453">
        <f>[18]Dashboard_FS!$K$8</f>
        <v>0</v>
      </c>
      <c r="G896" s="441" t="s">
        <v>1382</v>
      </c>
      <c r="H896" s="441" t="s">
        <v>1386</v>
      </c>
      <c r="I896" s="441" t="s">
        <v>1387</v>
      </c>
      <c r="J896" s="441" t="b">
        <f>_xlfn.ISFORMULA(F896)</f>
        <v>1</v>
      </c>
    </row>
    <row r="897" spans="1:10" hidden="1" x14ac:dyDescent="0.25">
      <c r="A897" s="441" t="str">
        <f t="shared" si="23"/>
        <v>Residential_HVAC_Gas High Efficiency Boiler_100000</v>
      </c>
      <c r="B897" t="s">
        <v>1095</v>
      </c>
      <c r="C897" t="s">
        <v>91</v>
      </c>
      <c r="D897" t="s">
        <v>1388</v>
      </c>
      <c r="E897" s="444">
        <v>100000</v>
      </c>
      <c r="F897" s="454">
        <v>100000</v>
      </c>
      <c r="H897" s="441" t="s">
        <v>1386</v>
      </c>
      <c r="I897" s="441" t="s">
        <v>1387</v>
      </c>
      <c r="J897" s="441" t="b">
        <f>_xlfn.ISFORMULA(F897)</f>
        <v>0</v>
      </c>
    </row>
    <row r="898" spans="1:10" hidden="1" x14ac:dyDescent="0.25">
      <c r="A898" s="441" t="str">
        <f t="shared" si="23"/>
        <v>Residential_HVAC_Gas High Efficiency Boiler_EFLH</v>
      </c>
      <c r="B898" t="s">
        <v>1095</v>
      </c>
      <c r="C898" t="s">
        <v>91</v>
      </c>
      <c r="D898" t="s">
        <v>1388</v>
      </c>
      <c r="E898" s="442" t="s">
        <v>1110</v>
      </c>
      <c r="F898" s="443">
        <f>INDEX('[18]CZ Inputs'!$G:$G,MATCH($A898&amp;"_"&amp;[18]Dashboard_FS!$K$3,'[18]CZ Inputs'!$A:$A,0))</f>
        <v>836</v>
      </c>
      <c r="H898" s="441" t="s">
        <v>1386</v>
      </c>
      <c r="I898" s="441" t="s">
        <v>1387</v>
      </c>
      <c r="J898" s="441" t="b">
        <f t="shared" si="22"/>
        <v>1</v>
      </c>
    </row>
    <row r="899" spans="1:10" hidden="1" x14ac:dyDescent="0.25">
      <c r="A899" s="441" t="str">
        <f t="shared" si="23"/>
        <v>Residential_HVAC_Gas High Efficiency Boiler_CAPInput</v>
      </c>
      <c r="B899" t="s">
        <v>1095</v>
      </c>
      <c r="C899" t="s">
        <v>91</v>
      </c>
      <c r="D899" t="s">
        <v>1388</v>
      </c>
      <c r="E899" s="442" t="s">
        <v>1376</v>
      </c>
      <c r="F899" s="453">
        <f>[18]Dashboard_FS!$K$10</f>
        <v>0</v>
      </c>
      <c r="G899" s="441" t="s">
        <v>1066</v>
      </c>
      <c r="H899" s="441" t="s">
        <v>1386</v>
      </c>
      <c r="I899" s="441" t="s">
        <v>1387</v>
      </c>
      <c r="J899" s="441" t="b">
        <f t="shared" si="22"/>
        <v>1</v>
      </c>
    </row>
    <row r="900" spans="1:10" hidden="1" x14ac:dyDescent="0.25">
      <c r="A900" s="441" t="str">
        <f t="shared" si="23"/>
        <v>Residential_HVAC_Gas High Efficiency Boiler_AFUEEff</v>
      </c>
      <c r="B900" t="s">
        <v>1095</v>
      </c>
      <c r="C900" t="s">
        <v>91</v>
      </c>
      <c r="D900" t="s">
        <v>1388</v>
      </c>
      <c r="E900" s="442" t="s">
        <v>1390</v>
      </c>
      <c r="F900" s="453">
        <f>[18]Dashboard_FS!$K$7</f>
        <v>0</v>
      </c>
      <c r="G900" s="441" t="s">
        <v>1061</v>
      </c>
      <c r="H900" s="441" t="s">
        <v>1386</v>
      </c>
      <c r="I900" s="441" t="s">
        <v>1387</v>
      </c>
      <c r="J900" s="441" t="b">
        <f t="shared" si="22"/>
        <v>1</v>
      </c>
    </row>
    <row r="901" spans="1:10" hidden="1" x14ac:dyDescent="0.25">
      <c r="A901" s="441" t="str">
        <f t="shared" si="23"/>
        <v>Residential_HVAC_Gas High Efficiency Boiler_100000</v>
      </c>
      <c r="B901" t="s">
        <v>1095</v>
      </c>
      <c r="C901" t="s">
        <v>91</v>
      </c>
      <c r="D901" t="s">
        <v>1388</v>
      </c>
      <c r="E901" s="444">
        <v>100000</v>
      </c>
      <c r="F901" s="454">
        <v>100000</v>
      </c>
      <c r="H901" s="441" t="s">
        <v>1386</v>
      </c>
      <c r="I901" s="441" t="s">
        <v>1387</v>
      </c>
      <c r="J901" s="441" t="b">
        <f t="shared" si="22"/>
        <v>0</v>
      </c>
    </row>
    <row r="902" spans="1:10" hidden="1" x14ac:dyDescent="0.25">
      <c r="A902" s="441" t="str">
        <f t="shared" si="23"/>
        <v>Residential_HVAC_Gas High Efficiency Boiler_Lifetime (years)</v>
      </c>
      <c r="B902" t="s">
        <v>1095</v>
      </c>
      <c r="C902" t="s">
        <v>91</v>
      </c>
      <c r="D902" t="s">
        <v>1388</v>
      </c>
      <c r="E902" s="450" t="s">
        <v>1160</v>
      </c>
      <c r="F902" s="468">
        <v>25</v>
      </c>
      <c r="H902" s="441" t="s">
        <v>1386</v>
      </c>
      <c r="I902" s="441" t="s">
        <v>1387</v>
      </c>
      <c r="J902" s="441" t="b">
        <f t="shared" si="22"/>
        <v>0</v>
      </c>
    </row>
    <row r="903" spans="1:10" hidden="1" x14ac:dyDescent="0.25">
      <c r="A903" s="441" t="str">
        <f t="shared" si="23"/>
        <v>Residential_HVAC_Gas High Efficiency Boiler_Incremental Cost</v>
      </c>
      <c r="B903" t="s">
        <v>1095</v>
      </c>
      <c r="C903" t="s">
        <v>91</v>
      </c>
      <c r="D903" t="s">
        <v>1388</v>
      </c>
      <c r="E903" s="450" t="s">
        <v>1161</v>
      </c>
      <c r="F903" s="469">
        <v>6188</v>
      </c>
      <c r="G903" s="441" t="s">
        <v>1385</v>
      </c>
      <c r="H903" s="441" t="s">
        <v>1386</v>
      </c>
      <c r="I903" s="441" t="s">
        <v>1387</v>
      </c>
      <c r="J903" s="441" t="b">
        <f t="shared" si="22"/>
        <v>0</v>
      </c>
    </row>
    <row r="904" spans="1:10" hidden="1" x14ac:dyDescent="0.25">
      <c r="A904" s="441" t="str">
        <f t="shared" si="23"/>
        <v>Residential_HVAC_Gas High Efficiency Boiler_BTU Impact_Existing_Fossil Fuel</v>
      </c>
      <c r="B904" t="s">
        <v>1095</v>
      </c>
      <c r="C904" t="s">
        <v>91</v>
      </c>
      <c r="D904" t="s">
        <v>1388</v>
      </c>
      <c r="E904" s="450" t="s">
        <v>1163</v>
      </c>
      <c r="F904" s="451" t="e">
        <f>-(F894*F895)*(1/F896)</f>
        <v>#DIV/0!</v>
      </c>
      <c r="H904" s="441" t="s">
        <v>1386</v>
      </c>
      <c r="I904" s="441" t="s">
        <v>1387</v>
      </c>
      <c r="J904" s="441" t="b">
        <f t="shared" si="22"/>
        <v>1</v>
      </c>
    </row>
    <row r="905" spans="1:10" hidden="1" x14ac:dyDescent="0.25">
      <c r="A905" s="441" t="str">
        <f t="shared" si="23"/>
        <v>Residential_HVAC_Gas High Efficiency Boiler_BTU Impact_Existing_Winter Electricity</v>
      </c>
      <c r="B905" t="s">
        <v>1095</v>
      </c>
      <c r="C905" t="s">
        <v>91</v>
      </c>
      <c r="D905" t="s">
        <v>1388</v>
      </c>
      <c r="E905" s="450" t="s">
        <v>1164</v>
      </c>
      <c r="F905" s="451">
        <v>0</v>
      </c>
      <c r="H905" s="441" t="s">
        <v>1386</v>
      </c>
      <c r="I905" s="441" t="s">
        <v>1387</v>
      </c>
      <c r="J905" s="441" t="b">
        <f t="shared" si="22"/>
        <v>0</v>
      </c>
    </row>
    <row r="906" spans="1:10" hidden="1" x14ac:dyDescent="0.25">
      <c r="A906" s="441" t="str">
        <f t="shared" si="23"/>
        <v>Residential_HVAC_Gas High Efficiency Boiler_BTU Impact_Existing_Summer Electricity</v>
      </c>
      <c r="B906" t="s">
        <v>1095</v>
      </c>
      <c r="C906" t="s">
        <v>91</v>
      </c>
      <c r="D906" t="s">
        <v>1388</v>
      </c>
      <c r="E906" s="450" t="s">
        <v>1165</v>
      </c>
      <c r="F906" s="451">
        <v>0</v>
      </c>
      <c r="H906" s="441" t="s">
        <v>1386</v>
      </c>
      <c r="I906" s="441" t="s">
        <v>1387</v>
      </c>
      <c r="J906" s="441" t="b">
        <f t="shared" si="22"/>
        <v>0</v>
      </c>
    </row>
    <row r="907" spans="1:10" hidden="1" x14ac:dyDescent="0.25">
      <c r="A907" s="441" t="str">
        <f t="shared" si="23"/>
        <v>Residential_HVAC_Gas High Efficiency Boiler_BTU Impact_New_Fossil Fuel</v>
      </c>
      <c r="B907" t="s">
        <v>1095</v>
      </c>
      <c r="C907" t="s">
        <v>91</v>
      </c>
      <c r="D907" t="s">
        <v>1388</v>
      </c>
      <c r="E907" s="450" t="s">
        <v>1166</v>
      </c>
      <c r="F907" s="451" t="e">
        <f>(F898*F899)*(1/F900)</f>
        <v>#DIV/0!</v>
      </c>
      <c r="H907" s="441" t="s">
        <v>1386</v>
      </c>
      <c r="I907" s="441" t="s">
        <v>1387</v>
      </c>
      <c r="J907" s="441" t="b">
        <f t="shared" si="22"/>
        <v>1</v>
      </c>
    </row>
    <row r="908" spans="1:10" hidden="1" x14ac:dyDescent="0.25">
      <c r="A908" s="441" t="str">
        <f t="shared" si="23"/>
        <v>Residential_HVAC_Gas High Efficiency Boiler_BTU Impact_New_Winter Electricity</v>
      </c>
      <c r="B908" t="s">
        <v>1095</v>
      </c>
      <c r="C908" t="s">
        <v>91</v>
      </c>
      <c r="D908" t="s">
        <v>1388</v>
      </c>
      <c r="E908" s="450" t="s">
        <v>1167</v>
      </c>
      <c r="F908" s="451">
        <v>0</v>
      </c>
      <c r="H908" s="441" t="s">
        <v>1386</v>
      </c>
      <c r="I908" s="441" t="s">
        <v>1387</v>
      </c>
      <c r="J908" s="441" t="b">
        <f t="shared" si="22"/>
        <v>0</v>
      </c>
    </row>
    <row r="909" spans="1:10" hidden="1" x14ac:dyDescent="0.25">
      <c r="A909" s="441" t="str">
        <f t="shared" si="23"/>
        <v>Residential_HVAC_Gas High Efficiency Boiler_BTU Impact_New_Summer Electricity</v>
      </c>
      <c r="B909" t="s">
        <v>1095</v>
      </c>
      <c r="C909" t="s">
        <v>91</v>
      </c>
      <c r="D909" t="s">
        <v>1388</v>
      </c>
      <c r="E909" s="450" t="s">
        <v>1168</v>
      </c>
      <c r="F909" s="451">
        <v>0</v>
      </c>
      <c r="H909" s="441" t="s">
        <v>1386</v>
      </c>
      <c r="I909" s="441" t="s">
        <v>1387</v>
      </c>
      <c r="J909" s="441" t="b">
        <f t="shared" si="22"/>
        <v>0</v>
      </c>
    </row>
    <row r="910" spans="1:10" hidden="1" x14ac:dyDescent="0.25">
      <c r="A910" s="441" t="str">
        <f t="shared" si="23"/>
        <v>Residential_HVAC_Gas High Efficiency Boiler_</v>
      </c>
      <c r="B910" t="s">
        <v>1095</v>
      </c>
      <c r="C910" t="s">
        <v>91</v>
      </c>
      <c r="D910" t="s">
        <v>1388</v>
      </c>
      <c r="H910" s="441" t="s">
        <v>1386</v>
      </c>
      <c r="I910" s="441" t="s">
        <v>1387</v>
      </c>
      <c r="J910" s="441" t="b">
        <f t="shared" si="22"/>
        <v>0</v>
      </c>
    </row>
  </sheetData>
  <autoFilter ref="A1:J910" xr:uid="{28DC8B96-8763-4BD5-9755-2F94298FFA8A}">
    <filterColumn colId="3">
      <filters>
        <filter val="Heat Pump Water Heater"/>
      </filters>
    </filterColumn>
  </autoFilter>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C51-88B6-4A1E-8C89-A0B668985751}">
  <sheetPr>
    <tabColor rgb="FF00B0F0"/>
  </sheetPr>
  <dimension ref="A1:I37"/>
  <sheetViews>
    <sheetView zoomScaleNormal="100" workbookViewId="0">
      <selection activeCell="D21" sqref="D21"/>
    </sheetView>
  </sheetViews>
  <sheetFormatPr defaultRowHeight="15" x14ac:dyDescent="0.25"/>
  <cols>
    <col min="1" max="11" width="31.5703125" customWidth="1"/>
  </cols>
  <sheetData>
    <row r="1" spans="1:9" x14ac:dyDescent="0.25">
      <c r="A1" s="7" t="s">
        <v>1391</v>
      </c>
      <c r="B1" s="7" t="s">
        <v>1081</v>
      </c>
      <c r="C1" s="7" t="s">
        <v>1074</v>
      </c>
      <c r="D1" s="7"/>
    </row>
    <row r="2" spans="1:9" x14ac:dyDescent="0.25">
      <c r="A2" t="s">
        <v>202</v>
      </c>
      <c r="B2" t="s">
        <v>27</v>
      </c>
      <c r="C2" t="s">
        <v>974</v>
      </c>
    </row>
    <row r="3" spans="1:9" x14ac:dyDescent="0.25">
      <c r="A3" t="s">
        <v>1069</v>
      </c>
      <c r="B3" t="s">
        <v>30</v>
      </c>
      <c r="C3" t="s">
        <v>975</v>
      </c>
    </row>
    <row r="7" spans="1:9" x14ac:dyDescent="0.25">
      <c r="A7" s="7" t="s">
        <v>1082</v>
      </c>
      <c r="B7" s="7" t="s">
        <v>1114</v>
      </c>
      <c r="C7" s="7" t="s">
        <v>1170</v>
      </c>
      <c r="D7" s="7" t="s">
        <v>1185</v>
      </c>
      <c r="E7" s="7" t="s">
        <v>1096</v>
      </c>
      <c r="F7" s="7" t="s">
        <v>43</v>
      </c>
      <c r="G7" s="7" t="s">
        <v>336</v>
      </c>
      <c r="H7" s="7" t="s">
        <v>1254</v>
      </c>
      <c r="I7" s="7" t="s">
        <v>1046</v>
      </c>
    </row>
    <row r="8" spans="1:9" x14ac:dyDescent="0.25">
      <c r="A8" t="s">
        <v>1392</v>
      </c>
      <c r="B8" t="s">
        <v>1114</v>
      </c>
      <c r="C8" t="s">
        <v>1170</v>
      </c>
      <c r="D8" t="s">
        <v>1185</v>
      </c>
      <c r="E8" t="s">
        <v>1096</v>
      </c>
      <c r="F8" t="s">
        <v>43</v>
      </c>
      <c r="G8" t="s">
        <v>336</v>
      </c>
      <c r="H8" t="s">
        <v>1254</v>
      </c>
      <c r="I8" t="s">
        <v>1287</v>
      </c>
    </row>
    <row r="9" spans="1:9" x14ac:dyDescent="0.25">
      <c r="A9" t="s">
        <v>1393</v>
      </c>
      <c r="B9" t="s">
        <v>1096</v>
      </c>
      <c r="C9" t="s">
        <v>1096</v>
      </c>
      <c r="D9" t="s">
        <v>1096</v>
      </c>
      <c r="E9" t="s">
        <v>1096</v>
      </c>
      <c r="F9" t="s">
        <v>1096</v>
      </c>
      <c r="G9" t="s">
        <v>1096</v>
      </c>
      <c r="H9" t="s">
        <v>1096</v>
      </c>
      <c r="I9" t="s">
        <v>1327</v>
      </c>
    </row>
    <row r="10" spans="1:9" x14ac:dyDescent="0.25">
      <c r="I10" t="s">
        <v>1339</v>
      </c>
    </row>
    <row r="11" spans="1:9" x14ac:dyDescent="0.25">
      <c r="A11" t="s">
        <v>1080</v>
      </c>
      <c r="B11" t="s">
        <v>67</v>
      </c>
      <c r="C11" t="s">
        <v>69</v>
      </c>
      <c r="D11" t="s">
        <v>67</v>
      </c>
      <c r="E11" t="s">
        <v>1096</v>
      </c>
      <c r="F11" t="s">
        <v>1394</v>
      </c>
      <c r="G11" t="s">
        <v>1395</v>
      </c>
      <c r="H11" t="s">
        <v>1396</v>
      </c>
      <c r="I11" t="s">
        <v>1340</v>
      </c>
    </row>
    <row r="12" spans="1:9" x14ac:dyDescent="0.25">
      <c r="I12" t="s">
        <v>1349</v>
      </c>
    </row>
    <row r="13" spans="1:9" x14ac:dyDescent="0.25">
      <c r="I13" t="s">
        <v>1350</v>
      </c>
    </row>
    <row r="14" spans="1:9" x14ac:dyDescent="0.25">
      <c r="A14" s="7" t="s">
        <v>102</v>
      </c>
      <c r="B14" s="7" t="s">
        <v>1397</v>
      </c>
      <c r="C14" s="7" t="s">
        <v>1398</v>
      </c>
      <c r="D14" s="7" t="s">
        <v>1399</v>
      </c>
      <c r="I14" t="s">
        <v>1352</v>
      </c>
    </row>
    <row r="15" spans="1:9" x14ac:dyDescent="0.25">
      <c r="A15" t="s">
        <v>27</v>
      </c>
      <c r="B15" t="s">
        <v>1400</v>
      </c>
      <c r="C15" s="139">
        <v>91452</v>
      </c>
      <c r="D15" s="470">
        <f>138.63/10^6</f>
        <v>1.3862999999999999E-4</v>
      </c>
      <c r="I15" t="s">
        <v>1361</v>
      </c>
    </row>
    <row r="16" spans="1:9" x14ac:dyDescent="0.25">
      <c r="A16" t="s">
        <v>30</v>
      </c>
      <c r="B16" t="s">
        <v>1401</v>
      </c>
      <c r="C16" s="139">
        <v>1000000</v>
      </c>
      <c r="D16" s="470">
        <f>116.65/10^6</f>
        <v>1.1665E-4</v>
      </c>
      <c r="I16" t="s">
        <v>1096</v>
      </c>
    </row>
    <row r="17" spans="1:7" x14ac:dyDescent="0.25">
      <c r="A17" t="s">
        <v>1073</v>
      </c>
      <c r="B17" t="s">
        <v>1400</v>
      </c>
      <c r="C17" s="139">
        <v>138500</v>
      </c>
      <c r="D17" s="470">
        <f>163.45/10^6</f>
        <v>1.6344999999999999E-4</v>
      </c>
    </row>
    <row r="18" spans="1:7" x14ac:dyDescent="0.25">
      <c r="A18" t="s">
        <v>1094</v>
      </c>
      <c r="B18" t="s">
        <v>432</v>
      </c>
      <c r="C18" s="139">
        <v>3412</v>
      </c>
      <c r="D18" s="470">
        <v>4.1970915951283159E-4</v>
      </c>
    </row>
    <row r="21" spans="1:7" x14ac:dyDescent="0.25">
      <c r="A21" s="7" t="s">
        <v>1402</v>
      </c>
      <c r="B21" s="7" t="s">
        <v>1403</v>
      </c>
    </row>
    <row r="22" spans="1:7" x14ac:dyDescent="0.25">
      <c r="A22" t="s">
        <v>1053</v>
      </c>
      <c r="B22" t="s">
        <v>1056</v>
      </c>
    </row>
    <row r="24" spans="1:7" x14ac:dyDescent="0.25">
      <c r="A24" s="7" t="s">
        <v>1117</v>
      </c>
    </row>
    <row r="26" spans="1:7" x14ac:dyDescent="0.25">
      <c r="A26" t="s">
        <v>1447</v>
      </c>
      <c r="B26" s="6" t="s">
        <v>1490</v>
      </c>
      <c r="C26" s="6" t="s">
        <v>1489</v>
      </c>
      <c r="D26" s="6" t="s">
        <v>1488</v>
      </c>
      <c r="E26" s="6" t="s">
        <v>1487</v>
      </c>
      <c r="F26" s="6" t="s">
        <v>1486</v>
      </c>
      <c r="G26" s="6" t="s">
        <v>1485</v>
      </c>
    </row>
    <row r="27" spans="1:7" x14ac:dyDescent="0.25">
      <c r="A27" t="s">
        <v>1484</v>
      </c>
      <c r="B27" s="482">
        <v>0.81</v>
      </c>
      <c r="C27" s="482">
        <v>0.86</v>
      </c>
      <c r="D27" s="482">
        <v>0.87</v>
      </c>
      <c r="E27" s="482">
        <v>0.95</v>
      </c>
      <c r="F27" s="482">
        <v>0.97</v>
      </c>
      <c r="G27" s="482">
        <v>0.9</v>
      </c>
    </row>
    <row r="28" spans="1:7" x14ac:dyDescent="0.25">
      <c r="A28" t="s">
        <v>1483</v>
      </c>
      <c r="B28" s="482">
        <v>0.74</v>
      </c>
      <c r="C28" s="482">
        <v>0.8</v>
      </c>
      <c r="D28" s="482">
        <v>0.82</v>
      </c>
      <c r="E28" s="482">
        <v>0.92</v>
      </c>
      <c r="F28" s="482">
        <v>0.95</v>
      </c>
      <c r="G28" s="482">
        <v>0.85</v>
      </c>
    </row>
    <row r="29" spans="1:7" x14ac:dyDescent="0.25">
      <c r="A29" t="s">
        <v>1482</v>
      </c>
      <c r="B29" s="482">
        <v>0.7</v>
      </c>
      <c r="C29" s="482">
        <v>0.77</v>
      </c>
      <c r="D29" s="482">
        <v>0.79</v>
      </c>
      <c r="E29" s="482">
        <v>0.88</v>
      </c>
      <c r="F29" s="482">
        <v>0.92</v>
      </c>
      <c r="G29" s="482">
        <v>0.81</v>
      </c>
    </row>
    <row r="30" spans="1:7" x14ac:dyDescent="0.25">
      <c r="A30" t="s">
        <v>1481</v>
      </c>
      <c r="B30" s="482">
        <v>0.63</v>
      </c>
      <c r="C30" s="482">
        <v>0.7</v>
      </c>
      <c r="D30" s="482">
        <v>0.73</v>
      </c>
      <c r="E30" s="482">
        <v>0.8</v>
      </c>
      <c r="F30" s="482">
        <v>0.88</v>
      </c>
      <c r="G30" s="482">
        <v>0.75</v>
      </c>
    </row>
    <row r="31" spans="1:7" x14ac:dyDescent="0.25">
      <c r="A31" t="s">
        <v>1480</v>
      </c>
      <c r="B31" s="482">
        <v>0.5</v>
      </c>
      <c r="C31" s="482">
        <v>0.56000000000000005</v>
      </c>
      <c r="D31" s="482">
        <v>0.63</v>
      </c>
      <c r="E31" s="482">
        <v>0.71</v>
      </c>
      <c r="F31" s="482">
        <v>0.79</v>
      </c>
      <c r="G31" s="482">
        <v>0.64</v>
      </c>
    </row>
    <row r="32" spans="1:7" x14ac:dyDescent="0.25">
      <c r="A32" t="s">
        <v>1462</v>
      </c>
      <c r="B32" s="482">
        <v>0.42</v>
      </c>
      <c r="C32" s="482">
        <v>0.48</v>
      </c>
      <c r="D32" s="482">
        <v>0.56999999999999995</v>
      </c>
      <c r="E32" s="482">
        <v>0.61</v>
      </c>
      <c r="F32" s="482">
        <v>0.72</v>
      </c>
      <c r="G32" s="482">
        <v>0.56999999999999995</v>
      </c>
    </row>
    <row r="33" spans="1:7" x14ac:dyDescent="0.25">
      <c r="A33" t="s">
        <v>1479</v>
      </c>
      <c r="B33" s="482">
        <v>0.32</v>
      </c>
      <c r="C33" s="482">
        <v>0.37</v>
      </c>
      <c r="D33" s="482">
        <v>0.43</v>
      </c>
      <c r="E33" s="482">
        <v>0.48</v>
      </c>
      <c r="F33" s="482">
        <v>0.59</v>
      </c>
      <c r="G33" s="482">
        <v>0.44</v>
      </c>
    </row>
    <row r="34" spans="1:7" x14ac:dyDescent="0.25">
      <c r="A34" t="s">
        <v>1478</v>
      </c>
      <c r="B34" s="482">
        <v>0.33</v>
      </c>
      <c r="C34" s="482">
        <v>0.26</v>
      </c>
      <c r="D34" s="482">
        <v>0.27</v>
      </c>
      <c r="E34" s="482">
        <v>0.37</v>
      </c>
      <c r="F34" s="482">
        <v>0.41</v>
      </c>
      <c r="G34" s="482">
        <v>0.3</v>
      </c>
    </row>
    <row r="35" spans="1:7" x14ac:dyDescent="0.25">
      <c r="A35" t="s">
        <v>1477</v>
      </c>
      <c r="B35" s="482">
        <v>0.18</v>
      </c>
      <c r="C35" s="482">
        <v>0.2</v>
      </c>
      <c r="D35" s="482">
        <v>0.21</v>
      </c>
      <c r="E35" s="482">
        <v>0.3</v>
      </c>
      <c r="F35" s="482">
        <v>0.33</v>
      </c>
      <c r="G35" s="482">
        <v>0.24</v>
      </c>
    </row>
    <row r="36" spans="1:7" x14ac:dyDescent="0.25">
      <c r="A36" t="s">
        <v>1476</v>
      </c>
      <c r="B36" s="482">
        <v>0.14000000000000001</v>
      </c>
      <c r="C36" s="482">
        <v>0.14000000000000001</v>
      </c>
      <c r="D36" s="482">
        <v>0.15</v>
      </c>
      <c r="E36" s="482">
        <v>0.21</v>
      </c>
      <c r="F36" s="482">
        <v>0.23</v>
      </c>
      <c r="G36" s="482">
        <v>0.16</v>
      </c>
    </row>
    <row r="37" spans="1:7" x14ac:dyDescent="0.25">
      <c r="A37" t="s">
        <v>1475</v>
      </c>
      <c r="B37" s="482">
        <v>0.08</v>
      </c>
      <c r="C37" s="482">
        <v>0.08</v>
      </c>
      <c r="D37" s="482">
        <v>0.08</v>
      </c>
      <c r="E37" s="482">
        <v>0.13</v>
      </c>
      <c r="F37" s="482">
        <v>0.14000000000000001</v>
      </c>
      <c r="G37" s="482">
        <v>0.1</v>
      </c>
    </row>
  </sheetData>
  <pageMargins left="0.7" right="0.7" top="0.75" bottom="0.75" header="0.3" footer="0.3"/>
  <pageSetup orientation="portrait" horizontalDpi="1200" verticalDpi="12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89C1-6472-4700-99D9-0FAF61C685FF}">
  <dimension ref="A1:L42"/>
  <sheetViews>
    <sheetView zoomScaleNormal="100" workbookViewId="0">
      <selection activeCell="G16" sqref="G16"/>
    </sheetView>
  </sheetViews>
  <sheetFormatPr defaultRowHeight="15" x14ac:dyDescent="0.25"/>
  <cols>
    <col min="1" max="1" width="3.7109375" style="4" customWidth="1"/>
    <col min="2" max="2" width="3.7109375" customWidth="1"/>
    <col min="3" max="4" width="10.42578125" customWidth="1"/>
    <col min="7" max="7" width="10.140625" bestFit="1" customWidth="1"/>
    <col min="9" max="9" width="6.140625" customWidth="1"/>
    <col min="10" max="10" width="12.140625" customWidth="1"/>
    <col min="11" max="11" width="3.7109375" customWidth="1"/>
    <col min="12" max="12" width="3.7109375" style="4" customWidth="1"/>
  </cols>
  <sheetData>
    <row r="1" spans="2:11" x14ac:dyDescent="0.25">
      <c r="B1" s="1978" t="s">
        <v>420</v>
      </c>
      <c r="C1" s="1978"/>
      <c r="D1" s="1978"/>
      <c r="E1" s="1978"/>
      <c r="F1" s="1978"/>
      <c r="G1" s="1978"/>
      <c r="H1" s="1978"/>
      <c r="I1" s="1978"/>
      <c r="J1" s="1978"/>
      <c r="K1" s="1978"/>
    </row>
    <row r="2" spans="2:11" x14ac:dyDescent="0.25">
      <c r="B2" s="1978"/>
      <c r="C2" s="1978"/>
      <c r="D2" s="1978"/>
      <c r="E2" s="1978"/>
      <c r="F2" s="1978"/>
      <c r="G2" s="1978"/>
      <c r="H2" s="1978"/>
      <c r="I2" s="1978"/>
      <c r="J2" s="1978"/>
      <c r="K2" s="1978"/>
    </row>
    <row r="3" spans="2:11" x14ac:dyDescent="0.25">
      <c r="B3" s="1978"/>
      <c r="C3" s="1978"/>
      <c r="D3" s="1978"/>
      <c r="E3" s="1978"/>
      <c r="F3" s="1978"/>
      <c r="G3" s="1978"/>
      <c r="H3" s="1978"/>
      <c r="I3" s="1978"/>
      <c r="J3" s="1978"/>
      <c r="K3" s="1978"/>
    </row>
    <row r="4" spans="2:11" ht="20.45" customHeight="1" x14ac:dyDescent="0.25">
      <c r="B4" s="1978"/>
      <c r="C4" s="1978"/>
      <c r="D4" s="1978"/>
      <c r="E4" s="1978"/>
      <c r="F4" s="1978"/>
      <c r="G4" s="1978"/>
      <c r="H4" s="1978"/>
      <c r="I4" s="1978"/>
      <c r="J4" s="1978"/>
      <c r="K4" s="1978"/>
    </row>
    <row r="5" spans="2:11" x14ac:dyDescent="0.25">
      <c r="B5" s="553"/>
      <c r="C5" s="553"/>
      <c r="D5" s="553"/>
      <c r="E5" s="553"/>
      <c r="F5" s="553"/>
      <c r="G5" s="553"/>
      <c r="H5" s="553"/>
      <c r="I5" s="553"/>
      <c r="J5" s="553"/>
      <c r="K5" s="553"/>
    </row>
    <row r="6" spans="2:11" ht="15" customHeight="1" x14ac:dyDescent="0.25">
      <c r="B6" s="553"/>
      <c r="C6" s="556" t="s">
        <v>421</v>
      </c>
      <c r="D6" s="556"/>
      <c r="E6" s="556"/>
      <c r="F6" s="556"/>
      <c r="G6" s="556"/>
      <c r="H6" s="556"/>
      <c r="I6" s="556"/>
      <c r="J6" s="556"/>
      <c r="K6" s="1979"/>
    </row>
    <row r="7" spans="2:11" x14ac:dyDescent="0.25">
      <c r="B7" s="553"/>
      <c r="C7" s="556"/>
      <c r="D7" s="556"/>
      <c r="E7" s="556"/>
      <c r="F7" s="556"/>
      <c r="G7" s="556"/>
      <c r="H7" s="556"/>
      <c r="I7" s="556"/>
      <c r="J7" s="556"/>
      <c r="K7" s="1979"/>
    </row>
    <row r="8" spans="2:11" x14ac:dyDescent="0.25">
      <c r="B8" s="553"/>
      <c r="C8" s="556"/>
      <c r="D8" s="556"/>
      <c r="E8" s="556"/>
      <c r="F8" s="556"/>
      <c r="G8" s="556"/>
      <c r="H8" s="556"/>
      <c r="I8" s="556"/>
      <c r="J8" s="556"/>
      <c r="K8" s="1979"/>
    </row>
    <row r="9" spans="2:11" x14ac:dyDescent="0.25">
      <c r="B9" s="553"/>
      <c r="C9" s="556"/>
      <c r="D9" s="556"/>
      <c r="E9" s="556"/>
      <c r="F9" s="556"/>
      <c r="G9" s="556"/>
      <c r="H9" s="556"/>
      <c r="I9" s="556"/>
      <c r="J9" s="556"/>
      <c r="K9" s="1979"/>
    </row>
    <row r="10" spans="2:11" x14ac:dyDescent="0.25">
      <c r="B10" s="553"/>
      <c r="C10" s="556"/>
      <c r="D10" s="556"/>
      <c r="E10" s="556"/>
      <c r="F10" s="556"/>
      <c r="G10" s="556"/>
      <c r="H10" s="556"/>
      <c r="I10" s="556"/>
      <c r="J10" s="556"/>
      <c r="K10" s="1979"/>
    </row>
    <row r="11" spans="2:11" x14ac:dyDescent="0.25">
      <c r="B11" s="553"/>
      <c r="C11" s="553"/>
      <c r="D11" s="553"/>
      <c r="E11" s="553"/>
      <c r="F11" s="553"/>
      <c r="G11" s="553"/>
      <c r="H11" s="553"/>
      <c r="I11" s="553"/>
      <c r="J11" s="553"/>
      <c r="K11" s="553"/>
    </row>
    <row r="12" spans="2:11" ht="14.45" customHeight="1" x14ac:dyDescent="0.25">
      <c r="B12" s="553"/>
      <c r="C12" s="1985" t="s">
        <v>424</v>
      </c>
      <c r="D12" s="1985"/>
      <c r="E12" s="1985"/>
      <c r="F12" s="1986" t="str">
        <f>IF(ISBLANK('Project Information'!M15),"",'Project Information'!M15)</f>
        <v/>
      </c>
      <c r="G12" s="1986"/>
      <c r="H12" s="1984"/>
      <c r="I12" s="1984"/>
      <c r="J12" s="1984"/>
      <c r="K12" s="1979"/>
    </row>
    <row r="13" spans="2:11" x14ac:dyDescent="0.25">
      <c r="B13" s="553"/>
      <c r="C13" s="159"/>
      <c r="D13" s="159"/>
      <c r="E13" s="159"/>
      <c r="F13" s="159"/>
      <c r="G13" s="159"/>
      <c r="H13" s="1984"/>
      <c r="I13" s="1984"/>
      <c r="J13" s="1984"/>
      <c r="K13" s="1979"/>
    </row>
    <row r="14" spans="2:11" x14ac:dyDescent="0.25">
      <c r="B14" s="553"/>
      <c r="C14" s="965" t="s">
        <v>422</v>
      </c>
      <c r="D14" s="965"/>
      <c r="E14" s="965"/>
      <c r="F14" s="965"/>
      <c r="G14" s="161">
        <f>('Work Scope'!H82-'Work Scope'!S82)+('Work Scope'!H83-'Work Scope'!S83)</f>
        <v>0</v>
      </c>
      <c r="H14" s="1984"/>
      <c r="I14" s="1984"/>
      <c r="J14" s="1984"/>
      <c r="K14" s="1979"/>
    </row>
    <row r="15" spans="2:11" ht="3" customHeight="1" x14ac:dyDescent="0.25">
      <c r="B15" s="553"/>
      <c r="C15" s="159"/>
      <c r="D15" s="159"/>
      <c r="E15" s="159"/>
      <c r="F15" s="159"/>
      <c r="G15" s="159"/>
      <c r="H15" s="1984"/>
      <c r="I15" s="1984"/>
      <c r="J15" s="1984"/>
      <c r="K15" s="1979"/>
    </row>
    <row r="16" spans="2:11" ht="15.75" thickBot="1" x14ac:dyDescent="0.3">
      <c r="B16" s="553"/>
      <c r="C16" s="965" t="s">
        <v>425</v>
      </c>
      <c r="D16" s="965"/>
      <c r="E16" s="965"/>
      <c r="F16" s="965"/>
      <c r="G16" s="160"/>
      <c r="H16" s="1984"/>
      <c r="I16" s="1984"/>
      <c r="J16" s="1984"/>
      <c r="K16" s="1979"/>
    </row>
    <row r="17" spans="2:11" ht="3" customHeight="1" thickTop="1" x14ac:dyDescent="0.25">
      <c r="B17" s="553"/>
      <c r="C17" s="159"/>
      <c r="D17" s="159"/>
      <c r="E17" s="159"/>
      <c r="F17" s="159"/>
      <c r="G17" s="159"/>
      <c r="H17" s="1984"/>
      <c r="I17" s="1984"/>
      <c r="J17" s="1984"/>
      <c r="K17" s="1979"/>
    </row>
    <row r="18" spans="2:11" x14ac:dyDescent="0.25">
      <c r="B18" s="553"/>
      <c r="C18" s="965" t="s">
        <v>423</v>
      </c>
      <c r="D18" s="965"/>
      <c r="E18" s="965"/>
      <c r="F18" s="965"/>
      <c r="G18" s="161">
        <f>G14-G16</f>
        <v>0</v>
      </c>
      <c r="H18" s="1984"/>
      <c r="I18" s="1984"/>
      <c r="J18" s="1984"/>
      <c r="K18" s="1979"/>
    </row>
    <row r="19" spans="2:11" ht="45" customHeight="1" x14ac:dyDescent="0.25">
      <c r="B19" s="553"/>
      <c r="C19" s="1980" t="s">
        <v>867</v>
      </c>
      <c r="D19" s="1980"/>
      <c r="E19" s="1982"/>
      <c r="F19" s="1982"/>
      <c r="G19" s="1982"/>
      <c r="H19" s="1982"/>
      <c r="I19" s="1982"/>
      <c r="J19" s="1982"/>
      <c r="K19" s="1979"/>
    </row>
    <row r="20" spans="2:11" ht="45" customHeight="1" x14ac:dyDescent="0.25">
      <c r="B20" s="4"/>
      <c r="C20" s="1980" t="s">
        <v>428</v>
      </c>
      <c r="D20" s="1980"/>
      <c r="E20" s="1983"/>
      <c r="F20" s="1983"/>
      <c r="G20" s="1983"/>
      <c r="H20" s="1983"/>
      <c r="I20" s="1983"/>
      <c r="J20" s="1983"/>
      <c r="K20" s="4"/>
    </row>
    <row r="21" spans="2:11" ht="45" customHeight="1" x14ac:dyDescent="0.25">
      <c r="B21" s="4"/>
      <c r="C21" s="1980" t="s">
        <v>427</v>
      </c>
      <c r="D21" s="1980"/>
      <c r="E21" s="1981"/>
      <c r="F21" s="1981"/>
      <c r="G21" s="4"/>
      <c r="H21" s="4"/>
      <c r="I21" s="4"/>
      <c r="J21" s="4"/>
      <c r="K21" s="4"/>
    </row>
    <row r="22" spans="2:11" x14ac:dyDescent="0.25">
      <c r="B22" s="553"/>
      <c r="C22" s="553"/>
      <c r="D22" s="553"/>
      <c r="E22" s="553"/>
      <c r="F22" s="553"/>
      <c r="G22" s="553"/>
      <c r="H22" s="553"/>
      <c r="I22" s="553"/>
      <c r="J22" s="553"/>
      <c r="K22" s="553"/>
    </row>
    <row r="23" spans="2:11" x14ac:dyDescent="0.25">
      <c r="B23" s="553"/>
      <c r="C23" s="553"/>
      <c r="D23" s="553"/>
      <c r="E23" s="553"/>
      <c r="F23" s="553"/>
      <c r="G23" s="553"/>
      <c r="H23" s="553"/>
      <c r="I23" s="553"/>
      <c r="J23" s="553"/>
      <c r="K23" s="553"/>
    </row>
    <row r="24" spans="2:11" x14ac:dyDescent="0.25">
      <c r="B24" s="553"/>
      <c r="C24" s="553"/>
      <c r="D24" s="553"/>
      <c r="E24" s="553"/>
      <c r="F24" s="553"/>
      <c r="G24" s="553"/>
      <c r="H24" s="553"/>
      <c r="I24" s="553"/>
      <c r="J24" s="553"/>
      <c r="K24" s="553"/>
    </row>
    <row r="25" spans="2:11" x14ac:dyDescent="0.25">
      <c r="B25" s="553"/>
      <c r="C25" s="553"/>
      <c r="D25" s="553"/>
      <c r="E25" s="553"/>
      <c r="F25" s="553"/>
      <c r="G25" s="553"/>
      <c r="H25" s="553"/>
      <c r="I25" s="553"/>
      <c r="J25" s="553"/>
      <c r="K25" s="553"/>
    </row>
    <row r="26" spans="2:11" x14ac:dyDescent="0.25">
      <c r="B26" s="553"/>
      <c r="C26" s="553"/>
      <c r="D26" s="553"/>
      <c r="E26" s="553"/>
      <c r="F26" s="553"/>
      <c r="G26" s="553"/>
      <c r="H26" s="553"/>
      <c r="I26" s="553"/>
      <c r="J26" s="553"/>
      <c r="K26" s="553"/>
    </row>
    <row r="27" spans="2:11" x14ac:dyDescent="0.25">
      <c r="B27" s="553"/>
      <c r="C27" s="553"/>
      <c r="D27" s="553"/>
      <c r="E27" s="553"/>
      <c r="F27" s="553"/>
      <c r="G27" s="553"/>
      <c r="H27" s="553"/>
      <c r="I27" s="553"/>
      <c r="J27" s="553"/>
      <c r="K27" s="553"/>
    </row>
    <row r="28" spans="2:11" x14ac:dyDescent="0.25">
      <c r="B28" s="553"/>
      <c r="C28" s="553"/>
      <c r="D28" s="553"/>
      <c r="E28" s="553"/>
      <c r="F28" s="553"/>
      <c r="G28" s="553"/>
      <c r="H28" s="553"/>
      <c r="I28" s="553"/>
      <c r="J28" s="553"/>
      <c r="K28" s="553"/>
    </row>
    <row r="29" spans="2:11" x14ac:dyDescent="0.25">
      <c r="B29" s="553"/>
      <c r="C29" s="553"/>
      <c r="D29" s="553"/>
      <c r="E29" s="553"/>
      <c r="F29" s="553"/>
      <c r="G29" s="553"/>
      <c r="H29" s="553"/>
      <c r="I29" s="553"/>
      <c r="J29" s="553"/>
      <c r="K29" s="553"/>
    </row>
    <row r="30" spans="2:11" x14ac:dyDescent="0.25">
      <c r="B30" s="553"/>
      <c r="C30" s="553"/>
      <c r="D30" s="553"/>
      <c r="E30" s="553"/>
      <c r="F30" s="553"/>
      <c r="G30" s="553"/>
      <c r="H30" s="553"/>
      <c r="I30" s="553"/>
      <c r="J30" s="553"/>
      <c r="K30" s="553"/>
    </row>
    <row r="31" spans="2:11" x14ac:dyDescent="0.25">
      <c r="B31" s="553"/>
      <c r="C31" s="553"/>
      <c r="D31" s="553"/>
      <c r="E31" s="553"/>
      <c r="F31" s="553"/>
      <c r="G31" s="553"/>
      <c r="H31" s="553"/>
      <c r="I31" s="553"/>
      <c r="J31" s="553"/>
      <c r="K31" s="553"/>
    </row>
    <row r="32" spans="2:11" x14ac:dyDescent="0.25">
      <c r="B32" s="553"/>
      <c r="C32" s="553"/>
      <c r="D32" s="553"/>
      <c r="E32" s="553"/>
      <c r="F32" s="553"/>
      <c r="G32" s="553"/>
      <c r="H32" s="553"/>
      <c r="I32" s="553"/>
      <c r="J32" s="553"/>
      <c r="K32" s="553"/>
    </row>
    <row r="33" spans="2:11" x14ac:dyDescent="0.25">
      <c r="B33" s="553"/>
      <c r="C33" s="553"/>
      <c r="D33" s="553"/>
      <c r="E33" s="553"/>
      <c r="F33" s="553"/>
      <c r="G33" s="553"/>
      <c r="H33" s="553"/>
      <c r="I33" s="553"/>
      <c r="J33" s="553"/>
      <c r="K33" s="553"/>
    </row>
    <row r="34" spans="2:11" x14ac:dyDescent="0.25">
      <c r="B34" s="4"/>
      <c r="C34" s="4"/>
      <c r="D34" s="4"/>
      <c r="E34" s="4"/>
      <c r="F34" s="4"/>
      <c r="G34" s="4"/>
      <c r="H34" s="4"/>
      <c r="I34" s="4"/>
      <c r="J34" s="4"/>
      <c r="K34" s="4"/>
    </row>
    <row r="35" spans="2:11" x14ac:dyDescent="0.25">
      <c r="B35" s="4"/>
      <c r="C35" s="4"/>
      <c r="D35" s="4"/>
      <c r="E35" s="4"/>
      <c r="F35" s="4"/>
      <c r="G35" s="4"/>
      <c r="H35" s="4"/>
      <c r="I35" s="4"/>
      <c r="J35" s="4"/>
      <c r="K35" s="4"/>
    </row>
    <row r="36" spans="2:11" x14ac:dyDescent="0.25">
      <c r="B36" s="4"/>
      <c r="C36" s="4"/>
      <c r="D36" s="4"/>
      <c r="E36" s="4"/>
      <c r="F36" s="4"/>
      <c r="G36" s="4"/>
      <c r="H36" s="4"/>
      <c r="I36" s="4"/>
      <c r="J36" s="4"/>
      <c r="K36" s="4"/>
    </row>
    <row r="37" spans="2:11" x14ac:dyDescent="0.25">
      <c r="B37" s="4"/>
      <c r="C37" s="4"/>
      <c r="D37" s="4"/>
      <c r="E37" s="4"/>
      <c r="F37" s="4"/>
      <c r="G37" s="4"/>
      <c r="H37" s="4"/>
      <c r="I37" s="4"/>
      <c r="J37" s="4"/>
      <c r="K37" s="4"/>
    </row>
    <row r="38" spans="2:11" x14ac:dyDescent="0.25">
      <c r="B38" s="4"/>
      <c r="C38" s="4"/>
      <c r="D38" s="4"/>
      <c r="E38" s="4"/>
      <c r="F38" s="4"/>
      <c r="G38" s="4"/>
      <c r="H38" s="4"/>
      <c r="I38" s="4"/>
      <c r="J38" s="4"/>
      <c r="K38" s="4"/>
    </row>
    <row r="39" spans="2:11" x14ac:dyDescent="0.25">
      <c r="B39" s="4"/>
      <c r="C39" s="4"/>
      <c r="D39" s="4"/>
      <c r="E39" s="4"/>
      <c r="F39" s="4"/>
      <c r="G39" s="4"/>
      <c r="H39" s="4"/>
      <c r="I39" s="4"/>
      <c r="J39" s="4"/>
      <c r="K39" s="4"/>
    </row>
    <row r="40" spans="2:11" x14ac:dyDescent="0.25">
      <c r="B40" s="4"/>
      <c r="C40" s="4"/>
      <c r="D40" s="4"/>
      <c r="E40" s="4"/>
      <c r="F40" s="4"/>
      <c r="G40" s="4"/>
      <c r="H40" s="4"/>
      <c r="I40" s="4"/>
      <c r="J40" s="4"/>
      <c r="K40" s="4"/>
    </row>
    <row r="41" spans="2:11" x14ac:dyDescent="0.25">
      <c r="B41" s="4"/>
      <c r="C41" s="4"/>
      <c r="D41" s="4"/>
      <c r="E41" s="4"/>
      <c r="F41" s="4"/>
      <c r="G41" s="4"/>
      <c r="H41" s="4"/>
      <c r="I41" s="4"/>
      <c r="J41" s="4"/>
      <c r="K41" s="4"/>
    </row>
    <row r="42" spans="2:11" x14ac:dyDescent="0.25">
      <c r="B42" s="4"/>
      <c r="C42" s="4"/>
      <c r="D42" s="4"/>
      <c r="E42" s="4"/>
      <c r="F42" s="4"/>
      <c r="G42" s="4"/>
      <c r="H42" s="4"/>
      <c r="I42" s="4"/>
      <c r="J42" s="4"/>
      <c r="K42" s="4"/>
    </row>
  </sheetData>
  <sheetProtection algorithmName="SHA-512" hashValue="HW0jWi5Bh8PoHaRYDKuMizOp6HFrg5c2pc6WVq6BtQL3oA+gw/A4SrlAD+iAoI/c3MGzluSg0celjJKiwKXMmA==" saltValue="1EKLI7XEvemV20u2ZS36IQ==" spinCount="100000" sheet="1" selectLockedCells="1"/>
  <mergeCells count="21">
    <mergeCell ref="C21:D21"/>
    <mergeCell ref="E21:F21"/>
    <mergeCell ref="B22:K33"/>
    <mergeCell ref="C20:D20"/>
    <mergeCell ref="C19:D19"/>
    <mergeCell ref="B12:B19"/>
    <mergeCell ref="K12:K19"/>
    <mergeCell ref="C14:F14"/>
    <mergeCell ref="C16:F16"/>
    <mergeCell ref="C18:F18"/>
    <mergeCell ref="E19:J19"/>
    <mergeCell ref="E20:J20"/>
    <mergeCell ref="H12:J18"/>
    <mergeCell ref="C12:E12"/>
    <mergeCell ref="F12:G12"/>
    <mergeCell ref="B1:K4"/>
    <mergeCell ref="B5:K5"/>
    <mergeCell ref="B6:B10"/>
    <mergeCell ref="K6:K10"/>
    <mergeCell ref="B11:K11"/>
    <mergeCell ref="C6:J10"/>
  </mergeCells>
  <conditionalFormatting sqref="G16">
    <cfRule type="cellIs" dxfId="0" priority="1" operator="greaterThan">
      <formula>1000</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28C3-01BD-46D2-9383-A0F9C9500C68}">
  <sheetPr>
    <pageSetUpPr fitToPage="1"/>
  </sheetPr>
  <dimension ref="A1:AO21"/>
  <sheetViews>
    <sheetView zoomScale="130" zoomScaleNormal="130" workbookViewId="0">
      <selection sqref="A1:AO1"/>
    </sheetView>
  </sheetViews>
  <sheetFormatPr defaultRowHeight="15" x14ac:dyDescent="0.25"/>
  <cols>
    <col min="1" max="41" width="2.7109375" customWidth="1"/>
  </cols>
  <sheetData>
    <row r="1" spans="1:41" x14ac:dyDescent="0.25">
      <c r="A1" s="557" t="s">
        <v>1773</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row>
    <row r="2" spans="1:41" x14ac:dyDescent="0.2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row>
    <row r="3" spans="1:41" ht="30" customHeight="1" x14ac:dyDescent="0.25">
      <c r="A3" s="4"/>
      <c r="B3" s="556" t="s">
        <v>1776</v>
      </c>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row>
    <row r="4" spans="1:41" x14ac:dyDescent="0.25">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row>
    <row r="5" spans="1:41" x14ac:dyDescent="0.25">
      <c r="A5" s="4"/>
      <c r="B5" s="557" t="s">
        <v>1774</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row>
    <row r="6" spans="1:41" x14ac:dyDescent="0.2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row>
    <row r="7" spans="1:41" s="44" customFormat="1" ht="15" customHeight="1" x14ac:dyDescent="0.25">
      <c r="A7" s="545"/>
      <c r="B7" s="556" t="s">
        <v>1775</v>
      </c>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row>
    <row r="8" spans="1:41" x14ac:dyDescent="0.25">
      <c r="A8" s="557"/>
      <c r="B8" s="557"/>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row>
    <row r="9" spans="1:41" ht="30" customHeight="1" x14ac:dyDescent="0.25">
      <c r="A9" s="389"/>
      <c r="B9" s="556" t="s">
        <v>1777</v>
      </c>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row>
    <row r="10" spans="1:41" x14ac:dyDescent="0.25">
      <c r="A10" s="389"/>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row>
    <row r="11" spans="1:41" ht="45" customHeight="1" x14ac:dyDescent="0.25">
      <c r="A11" s="4"/>
      <c r="B11" s="556" t="s">
        <v>1778</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row>
    <row r="12" spans="1:4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30" customHeight="1" x14ac:dyDescent="0.25">
      <c r="A13" s="4"/>
      <c r="B13" s="556" t="s">
        <v>1779</v>
      </c>
      <c r="C13" s="556"/>
      <c r="D13" s="556"/>
      <c r="E13" s="556"/>
      <c r="F13" s="556"/>
      <c r="G13" s="556"/>
      <c r="H13" s="556"/>
      <c r="I13" s="556"/>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row>
    <row r="14" spans="1:4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row>
    <row r="15" spans="1:41" ht="30" customHeight="1" x14ac:dyDescent="0.25">
      <c r="A15" s="4"/>
      <c r="B15" s="556" t="s">
        <v>1780</v>
      </c>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row>
    <row r="16" spans="1:4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row>
    <row r="17" spans="1:41" ht="30" customHeight="1" x14ac:dyDescent="0.25">
      <c r="A17" s="4"/>
      <c r="B17" s="556" t="s">
        <v>1781</v>
      </c>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row>
    <row r="18" spans="1:4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row r="19" spans="1:41" ht="30" customHeight="1" x14ac:dyDescent="0.25">
      <c r="A19" s="4"/>
      <c r="B19" s="556" t="s">
        <v>1782</v>
      </c>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row>
    <row r="20" spans="1:4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row>
    <row r="21" spans="1:41" ht="30" customHeight="1" x14ac:dyDescent="0.25">
      <c r="A21" s="4"/>
      <c r="B21" s="556" t="s">
        <v>1783</v>
      </c>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row>
  </sheetData>
  <sheetProtection algorithmName="SHA-512" hashValue="g2Hb6zxPwXGI6rkcSpMdQtKQjhHTgA5KoBvpkdceWncuSa9ab2h+YR0OuhM/vhBdTITemKhkDWtEyJhLMDna4w==" saltValue="uLGtH6ZfPmiz6Ay4MVV2YA==" spinCount="100000" sheet="1" objects="1" scenarios="1"/>
  <mergeCells count="15">
    <mergeCell ref="A2:AO2"/>
    <mergeCell ref="A1:AO1"/>
    <mergeCell ref="B3:AO3"/>
    <mergeCell ref="B5:AO5"/>
    <mergeCell ref="B7:AO7"/>
    <mergeCell ref="B19:AO19"/>
    <mergeCell ref="B21:AO21"/>
    <mergeCell ref="A8:AO8"/>
    <mergeCell ref="A6:AO6"/>
    <mergeCell ref="A4:AO4"/>
    <mergeCell ref="B9:AO9"/>
    <mergeCell ref="B11:AO11"/>
    <mergeCell ref="B13:AO13"/>
    <mergeCell ref="B15:AO15"/>
    <mergeCell ref="B17:AO17"/>
  </mergeCells>
  <pageMargins left="0.7" right="0.7" top="0.75" bottom="0.75" header="0.3" footer="0.3"/>
  <pageSetup scale="82"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0E3-F89F-4175-AD1C-CC02FFF97BE1}">
  <dimension ref="A1:N44"/>
  <sheetViews>
    <sheetView topLeftCell="A24" zoomScale="115" zoomScaleNormal="115" workbookViewId="0">
      <selection activeCell="C33" sqref="C33"/>
    </sheetView>
  </sheetViews>
  <sheetFormatPr defaultRowHeight="15" x14ac:dyDescent="0.25"/>
  <cols>
    <col min="1" max="1" width="28.7109375" customWidth="1"/>
    <col min="2" max="2" width="12.28515625" customWidth="1"/>
    <col min="3" max="3" width="13.42578125" customWidth="1"/>
    <col min="4" max="4" width="12" customWidth="1"/>
    <col min="5" max="5" width="28.7109375" bestFit="1" customWidth="1"/>
    <col min="6" max="7" width="7.140625" style="11" bestFit="1" customWidth="1"/>
    <col min="9" max="9" width="37.5703125" customWidth="1"/>
    <col min="14" max="14" width="30.7109375" customWidth="1"/>
  </cols>
  <sheetData>
    <row r="1" spans="1:14" x14ac:dyDescent="0.25">
      <c r="A1" s="6" t="s">
        <v>216</v>
      </c>
      <c r="B1" s="6">
        <v>1</v>
      </c>
      <c r="C1" s="6">
        <v>2</v>
      </c>
      <c r="D1" s="6">
        <v>3</v>
      </c>
      <c r="E1" s="9" t="s">
        <v>53</v>
      </c>
      <c r="F1" s="10" t="s">
        <v>54</v>
      </c>
      <c r="G1" s="10" t="s">
        <v>55</v>
      </c>
      <c r="N1" s="179" t="s">
        <v>447</v>
      </c>
    </row>
    <row r="2" spans="1:14" x14ac:dyDescent="0.25">
      <c r="A2" s="6" t="s">
        <v>46</v>
      </c>
      <c r="C2">
        <v>0.9</v>
      </c>
      <c r="D2">
        <v>0.8</v>
      </c>
      <c r="I2" s="12" t="s">
        <v>56</v>
      </c>
      <c r="L2" s="13" t="s">
        <v>57</v>
      </c>
      <c r="N2" s="179" t="s">
        <v>445</v>
      </c>
    </row>
    <row r="3" spans="1:14" x14ac:dyDescent="0.25">
      <c r="A3" t="s">
        <v>36</v>
      </c>
      <c r="B3" s="14" t="s">
        <v>1691</v>
      </c>
      <c r="C3" s="14" t="s">
        <v>1691</v>
      </c>
      <c r="D3" s="14" t="s">
        <v>1691</v>
      </c>
      <c r="E3" s="14">
        <v>0.95</v>
      </c>
      <c r="F3" s="15">
        <v>0.6</v>
      </c>
      <c r="G3" s="15">
        <v>0.4</v>
      </c>
      <c r="I3" t="s">
        <v>359</v>
      </c>
      <c r="L3" t="s">
        <v>58</v>
      </c>
      <c r="N3" s="180" t="s">
        <v>446</v>
      </c>
    </row>
    <row r="4" spans="1:14" x14ac:dyDescent="0.25">
      <c r="A4" t="s">
        <v>59</v>
      </c>
      <c r="B4" s="14">
        <f>'HE-PY26 Pricing'!C9</f>
        <v>1.9</v>
      </c>
      <c r="C4" s="14">
        <f t="shared" ref="C4:C13" si="0">MROUND($C$2*$B4,0.05)</f>
        <v>1.7000000000000002</v>
      </c>
      <c r="D4" s="14">
        <f>'HE-PY26 Pricing'!F9</f>
        <v>1.1000000000000001</v>
      </c>
      <c r="E4" s="14">
        <v>1.9</v>
      </c>
      <c r="F4" s="15">
        <v>0.54</v>
      </c>
      <c r="G4" s="15">
        <v>0.46</v>
      </c>
      <c r="I4" t="s">
        <v>360</v>
      </c>
    </row>
    <row r="5" spans="1:14" x14ac:dyDescent="0.25">
      <c r="A5" t="s">
        <v>60</v>
      </c>
      <c r="B5" s="14">
        <f>'HE-PY26 Pricing'!C10</f>
        <v>1.55</v>
      </c>
      <c r="C5" s="14">
        <f t="shared" si="0"/>
        <v>1.4000000000000001</v>
      </c>
      <c r="D5" s="14">
        <v>1.1000000000000001</v>
      </c>
      <c r="E5" s="14">
        <v>1.55</v>
      </c>
      <c r="F5" s="15">
        <v>0.54</v>
      </c>
      <c r="G5" s="15">
        <v>0.46</v>
      </c>
      <c r="I5" t="s">
        <v>361</v>
      </c>
    </row>
    <row r="6" spans="1:14" x14ac:dyDescent="0.25">
      <c r="A6" t="s">
        <v>1412</v>
      </c>
      <c r="B6" s="14">
        <v>1.2</v>
      </c>
      <c r="C6" s="14">
        <v>1.1000000000000001</v>
      </c>
      <c r="D6" s="14"/>
      <c r="E6" s="14"/>
      <c r="F6" s="15"/>
      <c r="G6" s="15"/>
    </row>
    <row r="7" spans="1:14" x14ac:dyDescent="0.25">
      <c r="A7" t="s">
        <v>37</v>
      </c>
      <c r="B7" s="14">
        <f>'HE-PY26 Pricing'!C12</f>
        <v>5.05</v>
      </c>
      <c r="C7" s="14">
        <f t="shared" si="0"/>
        <v>4.55</v>
      </c>
      <c r="D7" s="14">
        <f>'HE-PY26 Pricing'!F12</f>
        <v>1.1000000000000001</v>
      </c>
      <c r="E7" s="14">
        <v>5.05</v>
      </c>
      <c r="F7" s="15">
        <v>0.55000000000000004</v>
      </c>
      <c r="G7" s="15">
        <f t="shared" ref="G7:G23" si="1">1-F7</f>
        <v>0.44999999999999996</v>
      </c>
      <c r="I7" s="12" t="s">
        <v>61</v>
      </c>
    </row>
    <row r="8" spans="1:14" x14ac:dyDescent="0.25">
      <c r="A8" t="s">
        <v>39</v>
      </c>
      <c r="B8" s="14">
        <f>'HE-PY26 Pricing'!C13</f>
        <v>2.2999999999999998</v>
      </c>
      <c r="C8" s="14">
        <f t="shared" si="0"/>
        <v>2.0500000000000003</v>
      </c>
      <c r="D8" s="14">
        <f>'HE-PY26 Pricing'!F13</f>
        <v>1.1000000000000001</v>
      </c>
      <c r="E8" s="14">
        <v>2.2999999999999998</v>
      </c>
      <c r="F8" s="15">
        <v>0.55000000000000004</v>
      </c>
      <c r="G8" s="15">
        <f t="shared" si="1"/>
        <v>0.44999999999999996</v>
      </c>
      <c r="I8" t="s">
        <v>359</v>
      </c>
    </row>
    <row r="9" spans="1:14" x14ac:dyDescent="0.25">
      <c r="A9" t="s">
        <v>38</v>
      </c>
      <c r="B9" s="14">
        <f>'HE-PY26 Pricing'!C14</f>
        <v>6.3000000000000007</v>
      </c>
      <c r="C9" s="14">
        <f t="shared" si="0"/>
        <v>5.65</v>
      </c>
      <c r="D9" s="14">
        <f>'HE-PY26 Pricing'!F14</f>
        <v>2.5</v>
      </c>
      <c r="E9" s="14">
        <v>5.05</v>
      </c>
      <c r="F9" s="15">
        <v>0.74</v>
      </c>
      <c r="G9" s="15">
        <f t="shared" si="1"/>
        <v>0.26</v>
      </c>
      <c r="I9" t="s">
        <v>360</v>
      </c>
    </row>
    <row r="10" spans="1:14" x14ac:dyDescent="0.25">
      <c r="A10" t="s">
        <v>591</v>
      </c>
      <c r="B10" s="14">
        <f>'HE-PY26 Pricing'!C16</f>
        <v>8.7000000000000011</v>
      </c>
      <c r="C10" s="14">
        <f>MROUND($C$2*$B10,0.05)</f>
        <v>7.8500000000000005</v>
      </c>
      <c r="D10" s="14">
        <f>'HE-PY26 Pricing'!F16</f>
        <v>3.75</v>
      </c>
      <c r="E10" s="16">
        <v>6.95</v>
      </c>
      <c r="F10" s="15">
        <v>0.47499999999999998</v>
      </c>
      <c r="G10" s="15">
        <f t="shared" si="1"/>
        <v>0.52500000000000002</v>
      </c>
      <c r="I10" t="s">
        <v>361</v>
      </c>
    </row>
    <row r="11" spans="1:14" x14ac:dyDescent="0.25">
      <c r="A11" t="s">
        <v>62</v>
      </c>
      <c r="B11" s="14">
        <f>'HE-PY26 Pricing'!C17</f>
        <v>11.05</v>
      </c>
      <c r="C11" s="14">
        <f t="shared" si="0"/>
        <v>9.9500000000000011</v>
      </c>
      <c r="D11" s="14">
        <f>'HE-PY26 Pricing'!F17</f>
        <v>3.75</v>
      </c>
      <c r="E11" s="16">
        <v>8.85</v>
      </c>
      <c r="F11" s="15">
        <v>0.47499999999999998</v>
      </c>
      <c r="G11" s="15">
        <f t="shared" si="1"/>
        <v>0.52500000000000002</v>
      </c>
    </row>
    <row r="12" spans="1:14" x14ac:dyDescent="0.25">
      <c r="A12" t="s">
        <v>63</v>
      </c>
      <c r="B12" s="14">
        <f>'HE-PY26 Pricing'!C96</f>
        <v>525</v>
      </c>
      <c r="C12" s="14">
        <f>MROUND($C$2*$B12,5)</f>
        <v>475</v>
      </c>
      <c r="D12" s="14">
        <f>'HE-PY26 Pricing'!F96</f>
        <v>225</v>
      </c>
      <c r="E12" s="16">
        <v>525</v>
      </c>
      <c r="F12" s="15">
        <v>1</v>
      </c>
      <c r="G12" s="15">
        <f t="shared" si="1"/>
        <v>0</v>
      </c>
    </row>
    <row r="13" spans="1:14" x14ac:dyDescent="0.25">
      <c r="A13" t="s">
        <v>64</v>
      </c>
      <c r="B13" s="14">
        <f>'HE-PY26 Pricing'!C97</f>
        <v>650</v>
      </c>
      <c r="C13" s="14">
        <f t="shared" si="0"/>
        <v>585</v>
      </c>
      <c r="D13" s="14">
        <f>'HE-PY26 Pricing'!F97</f>
        <v>225</v>
      </c>
      <c r="E13" s="16">
        <v>650</v>
      </c>
      <c r="F13" s="15">
        <v>1</v>
      </c>
      <c r="G13" s="15">
        <f t="shared" si="1"/>
        <v>0</v>
      </c>
      <c r="I13" t="s">
        <v>65</v>
      </c>
      <c r="N13" t="s">
        <v>65</v>
      </c>
    </row>
    <row r="14" spans="1:14" ht="30" x14ac:dyDescent="0.25">
      <c r="A14" t="s">
        <v>66</v>
      </c>
      <c r="B14" s="14">
        <f>'HE-PY26 Pricing'!C98</f>
        <v>505</v>
      </c>
      <c r="C14" s="14">
        <f>MROUND($C$2*$B14,5)</f>
        <v>455</v>
      </c>
      <c r="D14" s="14">
        <v>200</v>
      </c>
      <c r="E14" s="14">
        <v>505</v>
      </c>
      <c r="F14" s="15">
        <v>0.56999999999999995</v>
      </c>
      <c r="G14" s="15">
        <f t="shared" si="1"/>
        <v>0.43000000000000005</v>
      </c>
      <c r="I14" s="44" t="s">
        <v>492</v>
      </c>
      <c r="N14" s="44" t="s">
        <v>493</v>
      </c>
    </row>
    <row r="15" spans="1:14" ht="30" x14ac:dyDescent="0.25">
      <c r="A15" t="s">
        <v>67</v>
      </c>
      <c r="B15" s="14"/>
      <c r="C15" s="14"/>
      <c r="D15" s="14">
        <v>0</v>
      </c>
      <c r="E15" t="s">
        <v>68</v>
      </c>
      <c r="F15" s="15">
        <v>0</v>
      </c>
      <c r="G15" s="15">
        <f t="shared" si="1"/>
        <v>1</v>
      </c>
      <c r="I15" s="44" t="s">
        <v>493</v>
      </c>
    </row>
    <row r="16" spans="1:14" x14ac:dyDescent="0.25">
      <c r="A16" t="s">
        <v>69</v>
      </c>
      <c r="B16" s="14"/>
      <c r="C16" s="14"/>
      <c r="D16" s="14">
        <v>0</v>
      </c>
      <c r="E16" t="s">
        <v>68</v>
      </c>
      <c r="F16" s="15">
        <v>0</v>
      </c>
      <c r="G16" s="15">
        <f t="shared" si="1"/>
        <v>1</v>
      </c>
    </row>
    <row r="17" spans="1:14" x14ac:dyDescent="0.25">
      <c r="A17" t="s">
        <v>6</v>
      </c>
      <c r="B17" s="14"/>
      <c r="C17" s="14"/>
      <c r="D17" s="14">
        <v>0</v>
      </c>
      <c r="E17" t="s">
        <v>68</v>
      </c>
      <c r="F17" s="15">
        <v>1</v>
      </c>
      <c r="G17" s="15">
        <f t="shared" si="1"/>
        <v>0</v>
      </c>
      <c r="I17" t="s">
        <v>70</v>
      </c>
      <c r="N17" t="s">
        <v>70</v>
      </c>
    </row>
    <row r="18" spans="1:14" ht="30" x14ac:dyDescent="0.25">
      <c r="A18" t="s">
        <v>7</v>
      </c>
      <c r="B18" s="14"/>
      <c r="C18" s="14"/>
      <c r="D18" s="14">
        <v>0</v>
      </c>
      <c r="E18" t="s">
        <v>68</v>
      </c>
      <c r="F18" s="15">
        <v>1</v>
      </c>
      <c r="G18" s="15">
        <f t="shared" si="1"/>
        <v>0</v>
      </c>
      <c r="I18" s="44" t="s">
        <v>492</v>
      </c>
      <c r="N18" s="44" t="s">
        <v>493</v>
      </c>
    </row>
    <row r="19" spans="1:14" ht="30" x14ac:dyDescent="0.25">
      <c r="A19" t="s">
        <v>72</v>
      </c>
      <c r="B19" s="14">
        <f>'HE-PY26 Pricing'!C81</f>
        <v>250</v>
      </c>
      <c r="C19" s="14">
        <f>MROUND($C$2*$B19,5)</f>
        <v>225</v>
      </c>
      <c r="D19" s="14">
        <v>0</v>
      </c>
      <c r="E19" s="14">
        <v>250</v>
      </c>
      <c r="F19" s="15">
        <v>1</v>
      </c>
      <c r="G19" s="15">
        <f t="shared" si="1"/>
        <v>0</v>
      </c>
      <c r="I19" s="44" t="s">
        <v>493</v>
      </c>
    </row>
    <row r="20" spans="1:14" x14ac:dyDescent="0.25">
      <c r="A20" t="s">
        <v>40</v>
      </c>
      <c r="B20" s="14">
        <f>'HE-PY26 Pricing'!C95</f>
        <v>380</v>
      </c>
      <c r="C20" s="14">
        <f>MROUND($C$2*$B20,5)</f>
        <v>340</v>
      </c>
      <c r="D20" s="14">
        <f>'HE-PY26 Pricing'!F95</f>
        <v>275</v>
      </c>
      <c r="E20" s="14">
        <v>380</v>
      </c>
      <c r="F20" s="15">
        <v>0.55000000000000004</v>
      </c>
      <c r="G20" s="15">
        <v>0.45</v>
      </c>
      <c r="N20" t="s">
        <v>1707</v>
      </c>
    </row>
    <row r="21" spans="1:14" ht="30" x14ac:dyDescent="0.25">
      <c r="A21" t="s">
        <v>43</v>
      </c>
      <c r="B21" s="14"/>
      <c r="C21" s="14">
        <f t="shared" ref="C21:C23" si="2">$C$2*$B21</f>
        <v>0</v>
      </c>
      <c r="D21" s="14">
        <v>0</v>
      </c>
      <c r="E21" t="s">
        <v>68</v>
      </c>
      <c r="F21" s="15">
        <v>1</v>
      </c>
      <c r="G21" s="15">
        <f t="shared" si="1"/>
        <v>0</v>
      </c>
      <c r="I21" t="s">
        <v>45</v>
      </c>
      <c r="N21" s="44" t="s">
        <v>493</v>
      </c>
    </row>
    <row r="22" spans="1:14" ht="45" x14ac:dyDescent="0.25">
      <c r="A22" t="s">
        <v>73</v>
      </c>
      <c r="B22" s="14"/>
      <c r="C22" s="14">
        <f t="shared" si="2"/>
        <v>0</v>
      </c>
      <c r="D22" s="14">
        <v>0</v>
      </c>
      <c r="E22" t="s">
        <v>68</v>
      </c>
      <c r="F22" s="15">
        <v>1</v>
      </c>
      <c r="G22" s="15">
        <f t="shared" si="1"/>
        <v>0</v>
      </c>
      <c r="I22" t="s">
        <v>74</v>
      </c>
      <c r="N22" s="44" t="s">
        <v>504</v>
      </c>
    </row>
    <row r="23" spans="1:14" x14ac:dyDescent="0.25">
      <c r="A23" t="s">
        <v>75</v>
      </c>
      <c r="B23" s="14">
        <v>0</v>
      </c>
      <c r="C23" s="14">
        <f t="shared" si="2"/>
        <v>0</v>
      </c>
      <c r="D23" s="14">
        <v>0</v>
      </c>
      <c r="F23" s="15">
        <v>0.88</v>
      </c>
      <c r="G23" s="15">
        <f t="shared" si="1"/>
        <v>0.12</v>
      </c>
      <c r="I23" t="s">
        <v>76</v>
      </c>
    </row>
    <row r="24" spans="1:14" x14ac:dyDescent="0.25">
      <c r="A24" t="s">
        <v>77</v>
      </c>
      <c r="B24" s="14">
        <v>3000</v>
      </c>
      <c r="C24" s="14">
        <f>B24</f>
        <v>3000</v>
      </c>
      <c r="D24" s="14">
        <v>0</v>
      </c>
      <c r="E24" s="14">
        <v>3000</v>
      </c>
      <c r="F24" s="15">
        <v>0</v>
      </c>
      <c r="G24" s="15">
        <v>1</v>
      </c>
      <c r="N24" t="s">
        <v>1708</v>
      </c>
    </row>
    <row r="25" spans="1:14" ht="30" x14ac:dyDescent="0.25">
      <c r="A25" t="s">
        <v>78</v>
      </c>
      <c r="B25" s="14">
        <v>3000</v>
      </c>
      <c r="C25" s="14">
        <f>B25</f>
        <v>3000</v>
      </c>
      <c r="D25" s="14">
        <v>0</v>
      </c>
      <c r="E25" s="14">
        <v>3000</v>
      </c>
      <c r="F25" s="15">
        <v>0</v>
      </c>
      <c r="G25" s="15">
        <v>1</v>
      </c>
      <c r="I25" s="44" t="s">
        <v>1016</v>
      </c>
      <c r="N25" s="44" t="s">
        <v>493</v>
      </c>
    </row>
    <row r="26" spans="1:14" ht="45" x14ac:dyDescent="0.25">
      <c r="A26" t="s">
        <v>240</v>
      </c>
      <c r="B26">
        <f>'Work Scope'!AJ66</f>
        <v>0</v>
      </c>
      <c r="C26">
        <f>C2*'Work Scope'!AJ66</f>
        <v>0</v>
      </c>
      <c r="I26" t="s">
        <v>591</v>
      </c>
      <c r="N26" s="44" t="s">
        <v>504</v>
      </c>
    </row>
    <row r="27" spans="1:14" x14ac:dyDescent="0.25">
      <c r="A27" t="s">
        <v>1426</v>
      </c>
      <c r="B27" s="14">
        <v>5000</v>
      </c>
      <c r="C27">
        <v>5000</v>
      </c>
      <c r="E27">
        <v>4700</v>
      </c>
      <c r="F27" s="11">
        <v>0</v>
      </c>
      <c r="G27" s="11">
        <v>1</v>
      </c>
      <c r="I27" t="s">
        <v>62</v>
      </c>
    </row>
    <row r="29" spans="1:14" ht="30" x14ac:dyDescent="0.25">
      <c r="I29" s="44" t="s">
        <v>47</v>
      </c>
    </row>
    <row r="30" spans="1:14" x14ac:dyDescent="0.25">
      <c r="A30" t="s">
        <v>1687</v>
      </c>
      <c r="I30" t="s">
        <v>63</v>
      </c>
    </row>
    <row r="31" spans="1:14" x14ac:dyDescent="0.25">
      <c r="A31" s="135" t="s">
        <v>1688</v>
      </c>
      <c r="B31">
        <v>1</v>
      </c>
      <c r="C31" s="16">
        <f>'HE-PY26 Pricing'!C6</f>
        <v>0.95</v>
      </c>
      <c r="I31" t="s">
        <v>64</v>
      </c>
    </row>
    <row r="32" spans="1:14" x14ac:dyDescent="0.25">
      <c r="A32" s="135" t="s">
        <v>1688</v>
      </c>
      <c r="B32">
        <v>501</v>
      </c>
      <c r="C32" s="16">
        <f>'HE-PY26 Pricing'!C7</f>
        <v>1.9</v>
      </c>
    </row>
    <row r="33" spans="1:9" x14ac:dyDescent="0.25">
      <c r="A33" s="135" t="s">
        <v>1688</v>
      </c>
      <c r="B33">
        <v>1001</v>
      </c>
      <c r="C33" s="16">
        <f>'HE-PY26 Pricing'!C8</f>
        <v>2.35</v>
      </c>
      <c r="I33" t="s">
        <v>1678</v>
      </c>
    </row>
    <row r="34" spans="1:9" ht="30" x14ac:dyDescent="0.25">
      <c r="A34" s="135">
        <v>3</v>
      </c>
      <c r="B34">
        <v>1</v>
      </c>
      <c r="C34" s="16">
        <f>'HE-PY26 Pricing'!F6</f>
        <v>0.7</v>
      </c>
      <c r="I34" s="44" t="s">
        <v>503</v>
      </c>
    </row>
    <row r="35" spans="1:9" ht="30" x14ac:dyDescent="0.25">
      <c r="A35">
        <v>3</v>
      </c>
      <c r="B35">
        <v>501</v>
      </c>
      <c r="C35" s="16">
        <f>'HE-PY26 Pricing'!F7</f>
        <v>1</v>
      </c>
      <c r="I35" s="44" t="s">
        <v>504</v>
      </c>
    </row>
    <row r="36" spans="1:9" x14ac:dyDescent="0.25">
      <c r="A36">
        <v>3</v>
      </c>
      <c r="B36">
        <v>1001</v>
      </c>
      <c r="C36" s="16">
        <f>'HE-PY26 Pricing'!F8</f>
        <v>1.5</v>
      </c>
    </row>
    <row r="37" spans="1:9" x14ac:dyDescent="0.25">
      <c r="I37" t="s">
        <v>1679</v>
      </c>
    </row>
    <row r="38" spans="1:9" ht="30" x14ac:dyDescent="0.25">
      <c r="I38" s="44" t="s">
        <v>503</v>
      </c>
    </row>
    <row r="39" spans="1:9" ht="30" x14ac:dyDescent="0.25">
      <c r="I39" s="44" t="s">
        <v>504</v>
      </c>
    </row>
    <row r="41" spans="1:9" ht="30" x14ac:dyDescent="0.25">
      <c r="I41" s="44" t="s">
        <v>358</v>
      </c>
    </row>
    <row r="42" spans="1:9" ht="30" x14ac:dyDescent="0.25">
      <c r="I42" s="44" t="s">
        <v>357</v>
      </c>
    </row>
    <row r="43" spans="1:9" ht="30" x14ac:dyDescent="0.25">
      <c r="I43" s="44" t="s">
        <v>1438</v>
      </c>
    </row>
    <row r="44" spans="1:9" ht="30" x14ac:dyDescent="0.25">
      <c r="I44" s="44" t="s">
        <v>356</v>
      </c>
    </row>
  </sheetData>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36C-9016-4854-A272-6F7BCAF225E5}">
  <sheetPr>
    <pageSetUpPr fitToPage="1"/>
  </sheetPr>
  <dimension ref="A1:J103"/>
  <sheetViews>
    <sheetView zoomScale="115" zoomScaleNormal="115" workbookViewId="0">
      <pane ySplit="4" topLeftCell="A5" activePane="bottomLeft" state="frozen"/>
      <selection pane="bottomLeft" sqref="A1:H1"/>
    </sheetView>
  </sheetViews>
  <sheetFormatPr defaultColWidth="9.140625" defaultRowHeight="15" x14ac:dyDescent="0.25"/>
  <cols>
    <col min="1" max="1" width="18.85546875" customWidth="1"/>
    <col min="2" max="2" width="13.140625" customWidth="1"/>
    <col min="3" max="5" width="12" style="14" customWidth="1"/>
    <col min="6" max="6" width="12" style="134" customWidth="1"/>
    <col min="7" max="7" width="8.7109375" style="6" bestFit="1" customWidth="1"/>
    <col min="8" max="8" width="100.7109375" customWidth="1"/>
    <col min="9" max="9" width="10.7109375" bestFit="1" customWidth="1"/>
    <col min="10" max="10" width="10.5703125" bestFit="1" customWidth="1"/>
  </cols>
  <sheetData>
    <row r="1" spans="1:9" ht="23.45" customHeight="1" x14ac:dyDescent="0.25">
      <c r="A1" s="1996" t="s">
        <v>1683</v>
      </c>
      <c r="B1" s="1996"/>
      <c r="C1" s="1996"/>
      <c r="D1" s="1996"/>
      <c r="E1" s="1996"/>
      <c r="F1" s="1996"/>
      <c r="G1" s="1996"/>
      <c r="H1" s="1996"/>
    </row>
    <row r="2" spans="1:9" x14ac:dyDescent="0.25">
      <c r="A2" s="1997" t="s">
        <v>218</v>
      </c>
      <c r="B2" s="1998"/>
      <c r="C2" s="1998"/>
      <c r="D2" s="1998"/>
      <c r="E2" s="1998"/>
      <c r="F2" s="1998"/>
      <c r="G2" s="1998"/>
      <c r="H2" s="1999"/>
      <c r="I2" s="23"/>
    </row>
    <row r="3" spans="1:9" x14ac:dyDescent="0.25">
      <c r="A3" s="2000"/>
      <c r="B3" s="2001"/>
      <c r="C3" s="2001"/>
      <c r="D3" s="2001"/>
      <c r="E3" s="2001"/>
      <c r="F3" s="2001"/>
      <c r="G3" s="2001"/>
      <c r="H3" s="2002"/>
    </row>
    <row r="4" spans="1:9" s="30" customFormat="1" ht="30" customHeight="1" x14ac:dyDescent="0.25">
      <c r="A4" s="2046" t="s">
        <v>46</v>
      </c>
      <c r="B4" s="2047"/>
      <c r="C4" s="24" t="s">
        <v>219</v>
      </c>
      <c r="D4" s="25" t="s">
        <v>220</v>
      </c>
      <c r="E4" s="26" t="s">
        <v>221</v>
      </c>
      <c r="F4" s="27" t="s">
        <v>222</v>
      </c>
      <c r="G4" s="28" t="s">
        <v>223</v>
      </c>
      <c r="H4" s="29" t="s">
        <v>224</v>
      </c>
    </row>
    <row r="5" spans="1:9" s="36" customFormat="1" ht="16.899999999999999" customHeight="1" x14ac:dyDescent="0.25">
      <c r="A5" s="31" t="s">
        <v>225</v>
      </c>
      <c r="B5" s="517"/>
      <c r="C5" s="32"/>
      <c r="D5" s="32"/>
      <c r="E5" s="32"/>
      <c r="F5" s="33"/>
      <c r="G5" s="34"/>
      <c r="H5" s="35"/>
    </row>
    <row r="6" spans="1:9" ht="24.95" customHeight="1" x14ac:dyDescent="0.25">
      <c r="A6" s="2009" t="s">
        <v>226</v>
      </c>
      <c r="B6" s="45" t="s">
        <v>1692</v>
      </c>
      <c r="C6" s="37">
        <v>0.95</v>
      </c>
      <c r="D6" s="38">
        <f>C6</f>
        <v>0.95</v>
      </c>
      <c r="E6" s="39">
        <f>C6</f>
        <v>0.95</v>
      </c>
      <c r="F6" s="544">
        <v>0.7</v>
      </c>
      <c r="G6" s="1987" t="s">
        <v>227</v>
      </c>
      <c r="H6" s="2007" t="s">
        <v>228</v>
      </c>
    </row>
    <row r="7" spans="1:9" ht="24.95" customHeight="1" x14ac:dyDescent="0.25">
      <c r="A7" s="1985"/>
      <c r="B7" s="45" t="s">
        <v>1693</v>
      </c>
      <c r="C7" s="37">
        <v>1.9</v>
      </c>
      <c r="D7" s="38">
        <f>C7</f>
        <v>1.9</v>
      </c>
      <c r="E7" s="39">
        <f>C7</f>
        <v>1.9</v>
      </c>
      <c r="F7" s="543">
        <v>1</v>
      </c>
      <c r="G7" s="1988"/>
      <c r="H7" s="2003"/>
    </row>
    <row r="8" spans="1:9" ht="24.95" customHeight="1" x14ac:dyDescent="0.25">
      <c r="A8" s="2010"/>
      <c r="B8" s="516" t="s">
        <v>1694</v>
      </c>
      <c r="C8" s="37">
        <v>2.35</v>
      </c>
      <c r="D8" s="38">
        <f>C8</f>
        <v>2.35</v>
      </c>
      <c r="E8" s="39">
        <f>C8</f>
        <v>2.35</v>
      </c>
      <c r="F8" s="543">
        <v>1.5</v>
      </c>
      <c r="G8" s="1989"/>
      <c r="H8" s="2008"/>
    </row>
    <row r="9" spans="1:9" s="44" customFormat="1" ht="75" customHeight="1" x14ac:dyDescent="0.25">
      <c r="A9" s="2011" t="s">
        <v>1695</v>
      </c>
      <c r="B9" s="2011"/>
      <c r="C9" s="37">
        <v>1.9</v>
      </c>
      <c r="D9" s="38">
        <f t="shared" ref="D9:D17" si="0">C9</f>
        <v>1.9</v>
      </c>
      <c r="E9" s="40">
        <f>Measures!C4</f>
        <v>1.7000000000000002</v>
      </c>
      <c r="F9" s="41">
        <v>1.1000000000000001</v>
      </c>
      <c r="G9" s="42" t="s">
        <v>122</v>
      </c>
      <c r="H9" s="43" t="s">
        <v>229</v>
      </c>
    </row>
    <row r="10" spans="1:9" s="44" customFormat="1" ht="75" customHeight="1" x14ac:dyDescent="0.25">
      <c r="A10" s="2012" t="s">
        <v>1696</v>
      </c>
      <c r="B10" s="2011"/>
      <c r="C10" s="37">
        <v>1.55</v>
      </c>
      <c r="D10" s="38">
        <f t="shared" si="0"/>
        <v>1.55</v>
      </c>
      <c r="E10" s="40">
        <f>Measures!C5</f>
        <v>1.4000000000000001</v>
      </c>
      <c r="F10" s="41">
        <v>1.1000000000000001</v>
      </c>
      <c r="G10" s="45" t="s">
        <v>122</v>
      </c>
      <c r="H10" s="43" t="s">
        <v>229</v>
      </c>
    </row>
    <row r="11" spans="1:9" s="44" customFormat="1" ht="75" customHeight="1" x14ac:dyDescent="0.25">
      <c r="A11" s="2012" t="s">
        <v>1697</v>
      </c>
      <c r="B11" s="2011"/>
      <c r="C11" s="37">
        <v>1.2</v>
      </c>
      <c r="D11" s="38">
        <f t="shared" ref="D11" si="1">C11</f>
        <v>1.2</v>
      </c>
      <c r="E11" s="40">
        <f>Measures!C6</f>
        <v>1.1000000000000001</v>
      </c>
      <c r="F11" s="41">
        <f>Measures!D6</f>
        <v>0</v>
      </c>
      <c r="G11" s="45" t="s">
        <v>122</v>
      </c>
      <c r="H11" s="43" t="s">
        <v>229</v>
      </c>
    </row>
    <row r="12" spans="1:9" s="44" customFormat="1" ht="46.5" customHeight="1" x14ac:dyDescent="0.25">
      <c r="A12" s="2012" t="s">
        <v>37</v>
      </c>
      <c r="B12" s="2011"/>
      <c r="C12" s="37">
        <v>5.05</v>
      </c>
      <c r="D12" s="46">
        <f t="shared" si="0"/>
        <v>5.05</v>
      </c>
      <c r="E12" s="40">
        <f>Measures!C7</f>
        <v>4.55</v>
      </c>
      <c r="F12" s="41">
        <v>1.1000000000000001</v>
      </c>
      <c r="G12" s="45" t="s">
        <v>122</v>
      </c>
      <c r="H12" s="43" t="s">
        <v>230</v>
      </c>
    </row>
    <row r="13" spans="1:9" s="44" customFormat="1" ht="46.9" customHeight="1" x14ac:dyDescent="0.25">
      <c r="A13" s="2012" t="s">
        <v>231</v>
      </c>
      <c r="B13" s="2011"/>
      <c r="C13" s="37">
        <v>2.2999999999999998</v>
      </c>
      <c r="D13" s="38">
        <f t="shared" si="0"/>
        <v>2.2999999999999998</v>
      </c>
      <c r="E13" s="40">
        <f>Measures!C8</f>
        <v>2.0500000000000003</v>
      </c>
      <c r="F13" s="41">
        <v>1.1000000000000001</v>
      </c>
      <c r="G13" s="45" t="s">
        <v>122</v>
      </c>
      <c r="H13" s="47" t="s">
        <v>232</v>
      </c>
    </row>
    <row r="14" spans="1:9" s="44" customFormat="1" ht="45" customHeight="1" x14ac:dyDescent="0.25">
      <c r="A14" s="2012" t="s">
        <v>233</v>
      </c>
      <c r="B14" s="2011"/>
      <c r="C14" s="37">
        <f>MROUND(5.05+(0.25*5.05),0.05)</f>
        <v>6.3000000000000007</v>
      </c>
      <c r="D14" s="46">
        <f t="shared" si="0"/>
        <v>6.3000000000000007</v>
      </c>
      <c r="E14" s="40">
        <f>Measures!C9</f>
        <v>5.65</v>
      </c>
      <c r="F14" s="41">
        <v>2.5</v>
      </c>
      <c r="G14" s="45" t="s">
        <v>234</v>
      </c>
      <c r="H14" s="48" t="s">
        <v>235</v>
      </c>
    </row>
    <row r="15" spans="1:9" s="44" customFormat="1" ht="18" customHeight="1" x14ac:dyDescent="0.25">
      <c r="A15" s="2020" t="s">
        <v>236</v>
      </c>
      <c r="B15" s="2021"/>
      <c r="C15" s="49"/>
      <c r="D15" s="50"/>
      <c r="E15" s="51"/>
      <c r="F15" s="52"/>
      <c r="G15" s="945" t="s">
        <v>234</v>
      </c>
      <c r="H15" s="2003" t="s">
        <v>237</v>
      </c>
    </row>
    <row r="16" spans="1:9" s="2" customFormat="1" ht="18" customHeight="1" x14ac:dyDescent="0.25">
      <c r="A16" s="2022" t="s">
        <v>238</v>
      </c>
      <c r="B16" s="2023"/>
      <c r="C16" s="37">
        <f>MROUND(6.95+(0.25*6.95),0.05)</f>
        <v>8.7000000000000011</v>
      </c>
      <c r="D16" s="38">
        <f t="shared" si="0"/>
        <v>8.7000000000000011</v>
      </c>
      <c r="E16" s="62">
        <f>Measures!C10</f>
        <v>7.8500000000000005</v>
      </c>
      <c r="F16" s="63">
        <v>3.75</v>
      </c>
      <c r="G16" s="945"/>
      <c r="H16" s="2003"/>
      <c r="I16" s="511"/>
    </row>
    <row r="17" spans="1:8" s="2" customFormat="1" ht="18" customHeight="1" x14ac:dyDescent="0.25">
      <c r="A17" s="2024" t="s">
        <v>239</v>
      </c>
      <c r="B17" s="2025"/>
      <c r="C17" s="49">
        <f>MROUND(8.85+(0.25*8.85),0.05)</f>
        <v>11.05</v>
      </c>
      <c r="D17" s="38">
        <f t="shared" si="0"/>
        <v>11.05</v>
      </c>
      <c r="E17" s="512">
        <f>Measures!C11</f>
        <v>9.9500000000000011</v>
      </c>
      <c r="F17" s="513">
        <v>3.75</v>
      </c>
      <c r="G17" s="945"/>
      <c r="H17" s="2003"/>
    </row>
    <row r="18" spans="1:8" s="36" customFormat="1" ht="16.5" customHeight="1" x14ac:dyDescent="0.25">
      <c r="A18" s="2004" t="s">
        <v>240</v>
      </c>
      <c r="B18" s="2005"/>
      <c r="C18" s="2005"/>
      <c r="D18" s="2005"/>
      <c r="E18" s="2005"/>
      <c r="F18" s="2005"/>
      <c r="G18" s="2005"/>
      <c r="H18" s="2006"/>
    </row>
    <row r="19" spans="1:8" s="44" customFormat="1" ht="28.15" customHeight="1" x14ac:dyDescent="0.25">
      <c r="A19" s="1990" t="s">
        <v>241</v>
      </c>
      <c r="B19" s="1991"/>
      <c r="C19" s="37">
        <v>480</v>
      </c>
      <c r="D19" s="55"/>
      <c r="E19" s="56"/>
      <c r="F19" s="57"/>
      <c r="G19" s="58" t="s">
        <v>242</v>
      </c>
      <c r="H19" s="59" t="s">
        <v>243</v>
      </c>
    </row>
    <row r="20" spans="1:8" s="44" customFormat="1" ht="28.15" customHeight="1" x14ac:dyDescent="0.25">
      <c r="A20" s="2016" t="s">
        <v>244</v>
      </c>
      <c r="B20" s="2017"/>
      <c r="C20" s="37">
        <v>132</v>
      </c>
      <c r="D20" s="55"/>
      <c r="E20" s="56"/>
      <c r="F20" s="57"/>
      <c r="G20" s="60" t="s">
        <v>122</v>
      </c>
      <c r="H20" s="59" t="s">
        <v>245</v>
      </c>
    </row>
    <row r="21" spans="1:8" s="44" customFormat="1" ht="28.15" customHeight="1" x14ac:dyDescent="0.25">
      <c r="A21" s="1990" t="s">
        <v>246</v>
      </c>
      <c r="B21" s="1991"/>
      <c r="C21" s="37">
        <v>100</v>
      </c>
      <c r="D21" s="61"/>
      <c r="E21" s="62"/>
      <c r="F21" s="63"/>
      <c r="G21" s="64" t="s">
        <v>247</v>
      </c>
      <c r="H21" s="65" t="s">
        <v>248</v>
      </c>
    </row>
    <row r="22" spans="1:8" s="36" customFormat="1" ht="45" customHeight="1" x14ac:dyDescent="0.25">
      <c r="A22" s="2028" t="s">
        <v>249</v>
      </c>
      <c r="B22" s="2029"/>
      <c r="C22" s="37">
        <v>290</v>
      </c>
      <c r="D22" s="61"/>
      <c r="E22" s="62"/>
      <c r="F22" s="63"/>
      <c r="G22" s="64" t="s">
        <v>247</v>
      </c>
      <c r="H22" s="65" t="s">
        <v>250</v>
      </c>
    </row>
    <row r="23" spans="1:8" ht="60" x14ac:dyDescent="0.25">
      <c r="A23" s="2028" t="s">
        <v>251</v>
      </c>
      <c r="B23" s="2029"/>
      <c r="C23" s="37">
        <v>160</v>
      </c>
      <c r="D23" s="55"/>
      <c r="E23" s="56"/>
      <c r="F23" s="57"/>
      <c r="G23" s="58" t="s">
        <v>247</v>
      </c>
      <c r="H23" s="59" t="s">
        <v>252</v>
      </c>
    </row>
    <row r="24" spans="1:8" ht="45" customHeight="1" x14ac:dyDescent="0.25">
      <c r="A24" s="2016" t="s">
        <v>253</v>
      </c>
      <c r="B24" s="2017"/>
      <c r="C24" s="37">
        <v>6.35</v>
      </c>
      <c r="D24" s="66"/>
      <c r="E24" s="67"/>
      <c r="F24" s="68"/>
      <c r="G24" s="60" t="s">
        <v>122</v>
      </c>
      <c r="H24" s="69" t="s">
        <v>254</v>
      </c>
    </row>
    <row r="25" spans="1:8" ht="28.15" customHeight="1" x14ac:dyDescent="0.25">
      <c r="A25" s="2016" t="s">
        <v>255</v>
      </c>
      <c r="B25" s="2017"/>
      <c r="C25" s="37">
        <v>173</v>
      </c>
      <c r="D25" s="66"/>
      <c r="E25" s="67"/>
      <c r="F25" s="68"/>
      <c r="G25" s="22" t="s">
        <v>247</v>
      </c>
      <c r="H25" s="70" t="s">
        <v>256</v>
      </c>
    </row>
    <row r="26" spans="1:8" ht="45" customHeight="1" x14ac:dyDescent="0.25">
      <c r="A26" s="2016" t="s">
        <v>257</v>
      </c>
      <c r="B26" s="2017"/>
      <c r="C26" s="37">
        <v>390</v>
      </c>
      <c r="D26" s="66"/>
      <c r="E26" s="67"/>
      <c r="F26" s="68"/>
      <c r="G26" s="22" t="s">
        <v>247</v>
      </c>
      <c r="H26" s="70" t="s">
        <v>258</v>
      </c>
    </row>
    <row r="27" spans="1:8" ht="45" customHeight="1" x14ac:dyDescent="0.25">
      <c r="A27" s="1990" t="s">
        <v>259</v>
      </c>
      <c r="B27" s="1991"/>
      <c r="C27" s="71"/>
      <c r="D27" s="55"/>
      <c r="E27" s="56"/>
      <c r="F27" s="57"/>
      <c r="G27" s="58" t="s">
        <v>247</v>
      </c>
      <c r="H27" s="59" t="s">
        <v>260</v>
      </c>
    </row>
    <row r="28" spans="1:8" ht="28.15" customHeight="1" x14ac:dyDescent="0.25">
      <c r="A28" s="1990" t="s">
        <v>1417</v>
      </c>
      <c r="B28" s="1991"/>
      <c r="C28" s="71">
        <v>400</v>
      </c>
      <c r="D28" s="55"/>
      <c r="E28" s="56"/>
      <c r="F28" s="57"/>
      <c r="G28" s="58" t="s">
        <v>247</v>
      </c>
      <c r="H28" s="59" t="s">
        <v>1418</v>
      </c>
    </row>
    <row r="29" spans="1:8" ht="60" x14ac:dyDescent="0.25">
      <c r="A29" s="2016" t="s">
        <v>261</v>
      </c>
      <c r="B29" s="2017"/>
      <c r="C29" s="37">
        <v>190</v>
      </c>
      <c r="D29" s="55"/>
      <c r="E29" s="56"/>
      <c r="F29" s="57"/>
      <c r="G29" s="22" t="s">
        <v>247</v>
      </c>
      <c r="H29" s="59" t="s">
        <v>262</v>
      </c>
    </row>
    <row r="30" spans="1:8" ht="45" x14ac:dyDescent="0.25">
      <c r="A30" s="2016" t="s">
        <v>263</v>
      </c>
      <c r="B30" s="2017"/>
      <c r="C30" s="37">
        <v>4.8499999999999996</v>
      </c>
      <c r="D30" s="66"/>
      <c r="E30" s="67"/>
      <c r="F30" s="68"/>
      <c r="G30" s="60" t="s">
        <v>122</v>
      </c>
      <c r="H30" s="70" t="s">
        <v>264</v>
      </c>
    </row>
    <row r="31" spans="1:8" ht="30" x14ac:dyDescent="0.25">
      <c r="A31" s="1990" t="s">
        <v>265</v>
      </c>
      <c r="B31" s="1991"/>
      <c r="C31" s="71"/>
      <c r="D31" s="55"/>
      <c r="E31" s="56"/>
      <c r="F31" s="57"/>
      <c r="G31" s="58" t="s">
        <v>122</v>
      </c>
      <c r="H31" s="59" t="s">
        <v>266</v>
      </c>
    </row>
    <row r="32" spans="1:8" ht="28.9" customHeight="1" x14ac:dyDescent="0.25">
      <c r="A32" s="2016" t="s">
        <v>267</v>
      </c>
      <c r="B32" s="2017"/>
      <c r="C32" s="37">
        <v>80</v>
      </c>
      <c r="D32" s="66"/>
      <c r="E32" s="67"/>
      <c r="F32" s="68"/>
      <c r="G32" s="22" t="s">
        <v>247</v>
      </c>
      <c r="H32" s="70" t="s">
        <v>268</v>
      </c>
    </row>
    <row r="33" spans="1:10" ht="28.9" customHeight="1" x14ac:dyDescent="0.25">
      <c r="A33" s="2016" t="s">
        <v>269</v>
      </c>
      <c r="B33" s="2017"/>
      <c r="C33" s="37">
        <v>240</v>
      </c>
      <c r="D33" s="66"/>
      <c r="E33" s="67"/>
      <c r="F33" s="68"/>
      <c r="G33" s="22" t="s">
        <v>247</v>
      </c>
      <c r="H33" s="70" t="s">
        <v>270</v>
      </c>
    </row>
    <row r="34" spans="1:10" ht="60" customHeight="1" x14ac:dyDescent="0.25">
      <c r="A34" s="2016" t="s">
        <v>271</v>
      </c>
      <c r="B34" s="2017"/>
      <c r="C34" s="37">
        <v>6.55</v>
      </c>
      <c r="D34" s="66"/>
      <c r="E34" s="67"/>
      <c r="F34" s="68"/>
      <c r="G34" s="22" t="s">
        <v>234</v>
      </c>
      <c r="H34" s="70" t="s">
        <v>272</v>
      </c>
    </row>
    <row r="35" spans="1:10" ht="30" x14ac:dyDescent="0.25">
      <c r="A35" s="1990" t="s">
        <v>273</v>
      </c>
      <c r="B35" s="1991"/>
      <c r="C35" s="37">
        <v>415</v>
      </c>
      <c r="D35" s="55"/>
      <c r="E35" s="56"/>
      <c r="F35" s="57"/>
      <c r="G35" s="58" t="s">
        <v>247</v>
      </c>
      <c r="H35" s="59" t="s">
        <v>274</v>
      </c>
    </row>
    <row r="36" spans="1:10" ht="28.15" customHeight="1" x14ac:dyDescent="0.25">
      <c r="A36" s="1990" t="s">
        <v>275</v>
      </c>
      <c r="B36" s="1991"/>
      <c r="C36" s="37">
        <v>5.05</v>
      </c>
      <c r="D36" s="55"/>
      <c r="E36" s="56"/>
      <c r="F36" s="57"/>
      <c r="G36" s="58" t="s">
        <v>276</v>
      </c>
      <c r="H36" s="59" t="s">
        <v>277</v>
      </c>
    </row>
    <row r="37" spans="1:10" ht="28.5" customHeight="1" x14ac:dyDescent="0.25">
      <c r="A37" s="2014" t="s">
        <v>278</v>
      </c>
      <c r="B37" s="2015"/>
      <c r="C37" s="37">
        <v>0.4</v>
      </c>
      <c r="D37" s="72"/>
      <c r="E37" s="73"/>
      <c r="F37" s="74"/>
      <c r="G37" s="60" t="s">
        <v>122</v>
      </c>
      <c r="H37" s="75" t="s">
        <v>279</v>
      </c>
    </row>
    <row r="38" spans="1:10" ht="28.5" customHeight="1" x14ac:dyDescent="0.25">
      <c r="A38" s="2014" t="s">
        <v>280</v>
      </c>
      <c r="B38" s="2015"/>
      <c r="C38" s="37">
        <v>1.3</v>
      </c>
      <c r="D38" s="76"/>
      <c r="E38" s="77"/>
      <c r="F38" s="78"/>
      <c r="G38" s="60" t="s">
        <v>122</v>
      </c>
      <c r="H38" s="75" t="s">
        <v>281</v>
      </c>
    </row>
    <row r="39" spans="1:10" ht="28.5" customHeight="1" x14ac:dyDescent="0.25">
      <c r="A39" s="2014" t="s">
        <v>282</v>
      </c>
      <c r="B39" s="2015"/>
      <c r="C39" s="37">
        <v>0.3</v>
      </c>
      <c r="D39" s="76"/>
      <c r="E39" s="77"/>
      <c r="F39" s="78"/>
      <c r="G39" s="60" t="s">
        <v>122</v>
      </c>
      <c r="H39" s="75" t="s">
        <v>283</v>
      </c>
    </row>
    <row r="40" spans="1:10" ht="28.5" customHeight="1" x14ac:dyDescent="0.25">
      <c r="A40" s="1990" t="s">
        <v>284</v>
      </c>
      <c r="B40" s="1991"/>
      <c r="C40" s="37">
        <v>380</v>
      </c>
      <c r="D40" s="55"/>
      <c r="E40" s="56"/>
      <c r="F40" s="57"/>
      <c r="G40" s="58" t="s">
        <v>247</v>
      </c>
      <c r="H40" s="59" t="s">
        <v>285</v>
      </c>
    </row>
    <row r="41" spans="1:10" ht="28.5" customHeight="1" x14ac:dyDescent="0.25">
      <c r="A41" s="1990" t="s">
        <v>286</v>
      </c>
      <c r="B41" s="1991"/>
      <c r="C41" s="37">
        <v>570</v>
      </c>
      <c r="D41" s="55"/>
      <c r="E41" s="56"/>
      <c r="F41" s="57"/>
      <c r="G41" s="58" t="s">
        <v>247</v>
      </c>
      <c r="H41" s="59" t="s">
        <v>287</v>
      </c>
    </row>
    <row r="42" spans="1:10" ht="28.5" customHeight="1" x14ac:dyDescent="0.25">
      <c r="A42" s="2016" t="s">
        <v>288</v>
      </c>
      <c r="B42" s="2019"/>
      <c r="C42" s="79">
        <v>505</v>
      </c>
      <c r="D42" s="55"/>
      <c r="E42" s="56"/>
      <c r="F42" s="57"/>
      <c r="G42" s="22" t="s">
        <v>247</v>
      </c>
      <c r="H42" s="59" t="s">
        <v>289</v>
      </c>
    </row>
    <row r="43" spans="1:10" ht="28.5" customHeight="1" x14ac:dyDescent="0.25">
      <c r="A43" s="2016" t="s">
        <v>290</v>
      </c>
      <c r="B43" s="2019"/>
      <c r="C43" s="79">
        <v>112</v>
      </c>
      <c r="D43" s="66"/>
      <c r="E43" s="67"/>
      <c r="F43" s="68"/>
      <c r="G43" s="22" t="s">
        <v>247</v>
      </c>
      <c r="H43" s="70" t="s">
        <v>291</v>
      </c>
    </row>
    <row r="44" spans="1:10" ht="28.5" customHeight="1" x14ac:dyDescent="0.25">
      <c r="A44" s="1990" t="s">
        <v>292</v>
      </c>
      <c r="B44" s="2018"/>
      <c r="C44" s="80"/>
      <c r="D44" s="55"/>
      <c r="E44" s="56"/>
      <c r="F44" s="57"/>
      <c r="G44" s="58" t="s">
        <v>247</v>
      </c>
      <c r="H44" s="59" t="s">
        <v>293</v>
      </c>
    </row>
    <row r="45" spans="1:10" ht="28.5" customHeight="1" x14ac:dyDescent="0.25">
      <c r="A45" s="2016" t="s">
        <v>294</v>
      </c>
      <c r="B45" s="2017"/>
      <c r="C45" s="37">
        <v>98</v>
      </c>
      <c r="D45" s="81"/>
      <c r="E45" s="82"/>
      <c r="F45" s="83"/>
      <c r="G45" s="22" t="s">
        <v>247</v>
      </c>
      <c r="H45" s="70" t="s">
        <v>295</v>
      </c>
    </row>
    <row r="46" spans="1:10" ht="21.6" customHeight="1" x14ac:dyDescent="0.25">
      <c r="A46" s="2004" t="s">
        <v>296</v>
      </c>
      <c r="B46" s="2005"/>
      <c r="C46" s="2005"/>
      <c r="D46" s="2005"/>
      <c r="E46" s="2005"/>
      <c r="F46" s="2005"/>
      <c r="G46" s="2005"/>
      <c r="H46" s="2006"/>
    </row>
    <row r="47" spans="1:10" ht="15.6" customHeight="1" x14ac:dyDescent="0.25">
      <c r="A47" s="2013" t="s">
        <v>297</v>
      </c>
      <c r="B47" s="2013"/>
      <c r="C47" s="2013"/>
      <c r="D47" s="2013"/>
      <c r="E47" s="2013"/>
      <c r="F47" s="2013"/>
      <c r="G47" s="2013"/>
      <c r="H47" s="2013"/>
      <c r="J47" s="8"/>
    </row>
    <row r="48" spans="1:10" s="2" customFormat="1" ht="17.45" customHeight="1" x14ac:dyDescent="0.25">
      <c r="A48" s="84" t="s">
        <v>586</v>
      </c>
      <c r="B48" s="518"/>
      <c r="C48" s="85"/>
      <c r="D48" s="85"/>
      <c r="E48" s="85"/>
      <c r="F48" s="86"/>
      <c r="G48" s="87"/>
      <c r="H48" s="88"/>
      <c r="J48" s="89"/>
    </row>
    <row r="49" spans="1:10" x14ac:dyDescent="0.25">
      <c r="A49" s="2026" t="s">
        <v>298</v>
      </c>
      <c r="B49" s="2027"/>
      <c r="C49" s="90">
        <v>4600</v>
      </c>
      <c r="D49" s="91">
        <f>C49</f>
        <v>4600</v>
      </c>
      <c r="E49" s="92">
        <f>C49*Measures!$C$2</f>
        <v>4140</v>
      </c>
      <c r="F49" s="1992" t="s">
        <v>31</v>
      </c>
      <c r="G49" s="93" t="s">
        <v>247</v>
      </c>
      <c r="H49" s="1995" t="s">
        <v>585</v>
      </c>
      <c r="J49" s="16"/>
    </row>
    <row r="50" spans="1:10" x14ac:dyDescent="0.25">
      <c r="A50" s="2026" t="s">
        <v>299</v>
      </c>
      <c r="B50" s="2027"/>
      <c r="C50" s="90">
        <v>4750</v>
      </c>
      <c r="D50" s="91">
        <f t="shared" ref="D50:D53" si="2">C50</f>
        <v>4750</v>
      </c>
      <c r="E50" s="92">
        <f>C50*Measures!$C$2</f>
        <v>4275</v>
      </c>
      <c r="F50" s="1993"/>
      <c r="G50" s="93" t="s">
        <v>247</v>
      </c>
      <c r="H50" s="1995"/>
      <c r="J50" s="16"/>
    </row>
    <row r="51" spans="1:10" x14ac:dyDescent="0.25">
      <c r="A51" s="2026" t="s">
        <v>300</v>
      </c>
      <c r="B51" s="2027"/>
      <c r="C51" s="90">
        <v>4950</v>
      </c>
      <c r="D51" s="91">
        <f t="shared" si="2"/>
        <v>4950</v>
      </c>
      <c r="E51" s="92">
        <f>C51*Measures!$C$2</f>
        <v>4455</v>
      </c>
      <c r="F51" s="1993"/>
      <c r="G51" s="93" t="s">
        <v>247</v>
      </c>
      <c r="H51" s="1995"/>
      <c r="J51" s="16"/>
    </row>
    <row r="52" spans="1:10" x14ac:dyDescent="0.25">
      <c r="A52" s="2026" t="s">
        <v>301</v>
      </c>
      <c r="B52" s="2027"/>
      <c r="C52" s="90">
        <v>5100</v>
      </c>
      <c r="D52" s="91">
        <f t="shared" si="2"/>
        <v>5100</v>
      </c>
      <c r="E52" s="92">
        <f>C52*Measures!$C$2</f>
        <v>4590</v>
      </c>
      <c r="F52" s="1993"/>
      <c r="G52" s="93" t="s">
        <v>247</v>
      </c>
      <c r="H52" s="1995"/>
      <c r="I52" s="8"/>
      <c r="J52" s="16"/>
    </row>
    <row r="53" spans="1:10" ht="50.45" customHeight="1" x14ac:dyDescent="0.25">
      <c r="A53" s="2024" t="s">
        <v>302</v>
      </c>
      <c r="B53" s="2025"/>
      <c r="C53" s="94">
        <v>5300</v>
      </c>
      <c r="D53" s="95">
        <f t="shared" si="2"/>
        <v>5300</v>
      </c>
      <c r="E53" s="96">
        <f>C53*Measures!$C$2</f>
        <v>4770</v>
      </c>
      <c r="F53" s="1994"/>
      <c r="G53" s="104" t="s">
        <v>247</v>
      </c>
      <c r="H53" s="1995"/>
      <c r="J53" s="16"/>
    </row>
    <row r="54" spans="1:10" s="2" customFormat="1" ht="17.45" hidden="1" customHeight="1" x14ac:dyDescent="0.25">
      <c r="A54" s="2030" t="s">
        <v>303</v>
      </c>
      <c r="B54" s="2031"/>
      <c r="C54" s="2031"/>
      <c r="D54" s="2031"/>
      <c r="E54" s="2031"/>
      <c r="F54" s="2031"/>
      <c r="G54" s="2031"/>
      <c r="H54" s="2032"/>
      <c r="J54" s="89"/>
    </row>
    <row r="55" spans="1:10" hidden="1" x14ac:dyDescent="0.25">
      <c r="A55" s="2026" t="s">
        <v>298</v>
      </c>
      <c r="B55" s="2027"/>
      <c r="C55" s="90">
        <v>8050</v>
      </c>
      <c r="D55" s="91">
        <f>C55</f>
        <v>8050</v>
      </c>
      <c r="E55" s="92">
        <f>C55*Measures!$C$2</f>
        <v>7245</v>
      </c>
      <c r="F55" s="1992" t="s">
        <v>31</v>
      </c>
      <c r="G55" s="93" t="s">
        <v>247</v>
      </c>
      <c r="H55" s="2037" t="s">
        <v>304</v>
      </c>
      <c r="J55" s="16"/>
    </row>
    <row r="56" spans="1:10" hidden="1" x14ac:dyDescent="0.25">
      <c r="A56" s="2026" t="s">
        <v>299</v>
      </c>
      <c r="B56" s="2027"/>
      <c r="C56" s="90">
        <v>8300</v>
      </c>
      <c r="D56" s="91">
        <f t="shared" ref="D56:D60" si="3">C56</f>
        <v>8300</v>
      </c>
      <c r="E56" s="92">
        <f>C56*Measures!$C$2</f>
        <v>7470</v>
      </c>
      <c r="F56" s="1993"/>
      <c r="G56" s="93" t="s">
        <v>247</v>
      </c>
      <c r="H56" s="2037"/>
      <c r="J56" s="16"/>
    </row>
    <row r="57" spans="1:10" hidden="1" x14ac:dyDescent="0.25">
      <c r="A57" s="2026" t="s">
        <v>300</v>
      </c>
      <c r="B57" s="2027"/>
      <c r="C57" s="90">
        <v>8550</v>
      </c>
      <c r="D57" s="91">
        <f t="shared" si="3"/>
        <v>8550</v>
      </c>
      <c r="E57" s="92">
        <f>C57*Measures!$C$2</f>
        <v>7695</v>
      </c>
      <c r="F57" s="1993"/>
      <c r="G57" s="93" t="s">
        <v>247</v>
      </c>
      <c r="H57" s="2037"/>
      <c r="J57" s="16"/>
    </row>
    <row r="58" spans="1:10" hidden="1" x14ac:dyDescent="0.25">
      <c r="A58" s="2026" t="s">
        <v>301</v>
      </c>
      <c r="B58" s="2027"/>
      <c r="C58" s="90">
        <v>8850</v>
      </c>
      <c r="D58" s="91">
        <f t="shared" si="3"/>
        <v>8850</v>
      </c>
      <c r="E58" s="92">
        <f>C58*Measures!$C$2</f>
        <v>7965</v>
      </c>
      <c r="F58" s="1993"/>
      <c r="G58" s="93" t="s">
        <v>247</v>
      </c>
      <c r="H58" s="2037"/>
      <c r="J58" s="16"/>
    </row>
    <row r="59" spans="1:10" hidden="1" x14ac:dyDescent="0.25">
      <c r="A59" s="2026" t="s">
        <v>305</v>
      </c>
      <c r="B59" s="2027"/>
      <c r="C59" s="90">
        <v>9200</v>
      </c>
      <c r="D59" s="91">
        <f t="shared" si="3"/>
        <v>9200</v>
      </c>
      <c r="E59" s="92">
        <f>C59*Measures!$C$2</f>
        <v>8280</v>
      </c>
      <c r="F59" s="1993"/>
      <c r="G59" s="93" t="s">
        <v>247</v>
      </c>
      <c r="H59" s="2037"/>
      <c r="J59" s="16"/>
    </row>
    <row r="60" spans="1:10" ht="15.6" hidden="1" customHeight="1" x14ac:dyDescent="0.25">
      <c r="A60" s="2026" t="s">
        <v>306</v>
      </c>
      <c r="B60" s="2027"/>
      <c r="C60" s="94">
        <v>9450</v>
      </c>
      <c r="D60" s="95">
        <f t="shared" si="3"/>
        <v>9450</v>
      </c>
      <c r="E60" s="92">
        <f>C60*Measures!$C$2</f>
        <v>8505</v>
      </c>
      <c r="F60" s="1994"/>
      <c r="G60" s="93" t="s">
        <v>247</v>
      </c>
      <c r="H60" s="2037"/>
      <c r="J60" s="16"/>
    </row>
    <row r="61" spans="1:10" s="2" customFormat="1" ht="17.45" hidden="1" customHeight="1" x14ac:dyDescent="0.25">
      <c r="A61" s="2030" t="s">
        <v>1430</v>
      </c>
      <c r="B61" s="2031"/>
      <c r="C61" s="2031"/>
      <c r="D61" s="2031"/>
      <c r="E61" s="2031"/>
      <c r="F61" s="2031"/>
      <c r="G61" s="2031"/>
      <c r="H61" s="2032"/>
      <c r="I61" s="89"/>
    </row>
    <row r="62" spans="1:10" hidden="1" x14ac:dyDescent="0.25">
      <c r="A62" s="2035" t="s">
        <v>307</v>
      </c>
      <c r="B62" s="2036"/>
      <c r="C62" s="90">
        <v>4850</v>
      </c>
      <c r="D62" s="91">
        <f>C62</f>
        <v>4850</v>
      </c>
      <c r="E62" s="92">
        <f>C62*Measures!$C$2</f>
        <v>4365</v>
      </c>
      <c r="F62" s="2038" t="s">
        <v>308</v>
      </c>
      <c r="G62" s="93" t="s">
        <v>247</v>
      </c>
      <c r="H62" s="2039" t="s">
        <v>1624</v>
      </c>
      <c r="I62" s="16"/>
    </row>
    <row r="63" spans="1:10" hidden="1" x14ac:dyDescent="0.25">
      <c r="A63" s="2035" t="s">
        <v>309</v>
      </c>
      <c r="B63" s="2036"/>
      <c r="C63" s="90">
        <v>5050</v>
      </c>
      <c r="D63" s="91">
        <f t="shared" ref="D63:D70" si="4">C63</f>
        <v>5050</v>
      </c>
      <c r="E63" s="92">
        <f>C63*Measures!$C$2</f>
        <v>4545</v>
      </c>
      <c r="F63" s="2038"/>
      <c r="G63" s="93" t="s">
        <v>247</v>
      </c>
      <c r="H63" s="2040"/>
      <c r="I63" s="16"/>
    </row>
    <row r="64" spans="1:10" hidden="1" x14ac:dyDescent="0.25">
      <c r="A64" s="2035" t="s">
        <v>310</v>
      </c>
      <c r="B64" s="2036"/>
      <c r="C64" s="90">
        <v>5250</v>
      </c>
      <c r="D64" s="91">
        <f t="shared" si="4"/>
        <v>5250</v>
      </c>
      <c r="E64" s="92">
        <f>C64*Measures!$C$2</f>
        <v>4725</v>
      </c>
      <c r="F64" s="2038"/>
      <c r="G64" s="93" t="s">
        <v>247</v>
      </c>
      <c r="H64" s="2040"/>
      <c r="I64" s="16"/>
    </row>
    <row r="65" spans="1:9" hidden="1" x14ac:dyDescent="0.25">
      <c r="A65" s="2035" t="s">
        <v>311</v>
      </c>
      <c r="B65" s="2036"/>
      <c r="C65" s="90">
        <v>5600</v>
      </c>
      <c r="D65" s="91">
        <f t="shared" si="4"/>
        <v>5600</v>
      </c>
      <c r="E65" s="92">
        <f>C65*Measures!$C$2</f>
        <v>5040</v>
      </c>
      <c r="F65" s="2038"/>
      <c r="G65" s="93" t="s">
        <v>247</v>
      </c>
      <c r="H65" s="2040"/>
      <c r="I65" s="16"/>
    </row>
    <row r="66" spans="1:9" hidden="1" x14ac:dyDescent="0.25">
      <c r="A66" s="2035" t="s">
        <v>312</v>
      </c>
      <c r="B66" s="2036"/>
      <c r="C66" s="90">
        <v>6000</v>
      </c>
      <c r="D66" s="91">
        <f t="shared" si="4"/>
        <v>6000</v>
      </c>
      <c r="E66" s="92">
        <f>C66*Measures!$C$2</f>
        <v>5400</v>
      </c>
      <c r="F66" s="2038"/>
      <c r="G66" s="93" t="s">
        <v>247</v>
      </c>
      <c r="H66" s="2040"/>
      <c r="I66" s="16"/>
    </row>
    <row r="67" spans="1:9" hidden="1" x14ac:dyDescent="0.25">
      <c r="A67" s="2035" t="s">
        <v>313</v>
      </c>
      <c r="B67" s="2036"/>
      <c r="C67" s="90">
        <v>6300</v>
      </c>
      <c r="D67" s="91">
        <f t="shared" si="4"/>
        <v>6300</v>
      </c>
      <c r="E67" s="92">
        <f>C67*Measures!$C$2</f>
        <v>5670</v>
      </c>
      <c r="F67" s="2038"/>
      <c r="G67" s="93" t="s">
        <v>247</v>
      </c>
      <c r="H67" s="2040"/>
      <c r="I67" s="16"/>
    </row>
    <row r="68" spans="1:9" hidden="1" x14ac:dyDescent="0.25">
      <c r="A68" s="2035" t="s">
        <v>314</v>
      </c>
      <c r="B68" s="2036"/>
      <c r="C68" s="90">
        <v>6700</v>
      </c>
      <c r="D68" s="91">
        <f t="shared" si="4"/>
        <v>6700</v>
      </c>
      <c r="E68" s="92">
        <f>C68*Measures!$C$2</f>
        <v>6030</v>
      </c>
      <c r="F68" s="2038"/>
      <c r="G68" s="93" t="s">
        <v>247</v>
      </c>
      <c r="H68" s="2040"/>
      <c r="I68" s="16"/>
    </row>
    <row r="69" spans="1:9" ht="13.9" hidden="1" customHeight="1" x14ac:dyDescent="0.25">
      <c r="A69" s="2035" t="s">
        <v>315</v>
      </c>
      <c r="B69" s="2036"/>
      <c r="C69" s="502">
        <v>7100</v>
      </c>
      <c r="D69" s="503">
        <f t="shared" si="4"/>
        <v>7100</v>
      </c>
      <c r="E69" s="92">
        <f>C69*Measures!$C$2</f>
        <v>6390</v>
      </c>
      <c r="F69" s="2038"/>
      <c r="G69" s="93" t="s">
        <v>247</v>
      </c>
      <c r="H69" s="2041"/>
      <c r="I69" s="16"/>
    </row>
    <row r="70" spans="1:9" ht="13.9" hidden="1" customHeight="1" x14ac:dyDescent="0.25">
      <c r="A70" s="2035" t="s">
        <v>1641</v>
      </c>
      <c r="B70" s="2036"/>
      <c r="C70" s="94">
        <v>350</v>
      </c>
      <c r="D70" s="500">
        <f t="shared" si="4"/>
        <v>350</v>
      </c>
      <c r="E70" s="92">
        <f>C70*Measures!$C$2</f>
        <v>315</v>
      </c>
      <c r="F70" s="501"/>
      <c r="G70" s="93" t="s">
        <v>247</v>
      </c>
      <c r="H70" s="105" t="s">
        <v>1643</v>
      </c>
      <c r="I70" s="16"/>
    </row>
    <row r="71" spans="1:9" s="2" customFormat="1" ht="45" customHeight="1" x14ac:dyDescent="0.25">
      <c r="A71" s="2030" t="s">
        <v>1431</v>
      </c>
      <c r="B71" s="2031"/>
      <c r="C71" s="2031"/>
      <c r="D71" s="2031"/>
      <c r="E71" s="2031"/>
      <c r="F71" s="2031"/>
      <c r="G71" s="2031"/>
      <c r="H71" s="2032"/>
      <c r="I71" s="89"/>
    </row>
    <row r="72" spans="1:9" x14ac:dyDescent="0.25">
      <c r="A72" s="2035" t="s">
        <v>307</v>
      </c>
      <c r="B72" s="2036"/>
      <c r="C72" s="90">
        <v>9700</v>
      </c>
      <c r="D72" s="91">
        <f>C72</f>
        <v>9700</v>
      </c>
      <c r="E72" s="92">
        <f>C72*Measures!$C$2</f>
        <v>8730</v>
      </c>
      <c r="F72" s="2038" t="s">
        <v>308</v>
      </c>
      <c r="G72" s="93" t="s">
        <v>247</v>
      </c>
      <c r="H72" s="2039" t="s">
        <v>1637</v>
      </c>
      <c r="I72" s="16"/>
    </row>
    <row r="73" spans="1:9" x14ac:dyDescent="0.25">
      <c r="A73" s="2035" t="s">
        <v>309</v>
      </c>
      <c r="B73" s="2036"/>
      <c r="C73" s="90">
        <v>10000</v>
      </c>
      <c r="D73" s="91">
        <f t="shared" ref="D73:D79" si="5">C73</f>
        <v>10000</v>
      </c>
      <c r="E73" s="92">
        <f>C73*Measures!$C$2</f>
        <v>9000</v>
      </c>
      <c r="F73" s="2038"/>
      <c r="G73" s="93" t="s">
        <v>247</v>
      </c>
      <c r="H73" s="2040"/>
      <c r="I73" s="16"/>
    </row>
    <row r="74" spans="1:9" x14ac:dyDescent="0.25">
      <c r="A74" s="2035" t="s">
        <v>310</v>
      </c>
      <c r="B74" s="2036"/>
      <c r="C74" s="90">
        <v>10300</v>
      </c>
      <c r="D74" s="91">
        <f t="shared" si="5"/>
        <v>10300</v>
      </c>
      <c r="E74" s="92">
        <f>C74*Measures!$C$2</f>
        <v>9270</v>
      </c>
      <c r="F74" s="2038"/>
      <c r="G74" s="93" t="s">
        <v>247</v>
      </c>
      <c r="H74" s="2040"/>
      <c r="I74" s="16"/>
    </row>
    <row r="75" spans="1:9" x14ac:dyDescent="0.25">
      <c r="A75" s="2035" t="s">
        <v>311</v>
      </c>
      <c r="B75" s="2036"/>
      <c r="C75" s="90">
        <v>10700</v>
      </c>
      <c r="D75" s="91">
        <f t="shared" si="5"/>
        <v>10700</v>
      </c>
      <c r="E75" s="92">
        <f>C75*Measures!$C$2</f>
        <v>9630</v>
      </c>
      <c r="F75" s="2038"/>
      <c r="G75" s="93" t="s">
        <v>247</v>
      </c>
      <c r="H75" s="2040"/>
      <c r="I75" s="16"/>
    </row>
    <row r="76" spans="1:9" x14ac:dyDescent="0.25">
      <c r="A76" s="2035" t="s">
        <v>312</v>
      </c>
      <c r="B76" s="2036"/>
      <c r="C76" s="90">
        <v>10900</v>
      </c>
      <c r="D76" s="91">
        <f t="shared" si="5"/>
        <v>10900</v>
      </c>
      <c r="E76" s="92">
        <f>C76*Measures!$C$2</f>
        <v>9810</v>
      </c>
      <c r="F76" s="2038"/>
      <c r="G76" s="93" t="s">
        <v>247</v>
      </c>
      <c r="H76" s="2040"/>
      <c r="I76" s="16"/>
    </row>
    <row r="77" spans="1:9" x14ac:dyDescent="0.25">
      <c r="A77" s="2035" t="s">
        <v>313</v>
      </c>
      <c r="B77" s="2036"/>
      <c r="C77" s="90">
        <v>11550</v>
      </c>
      <c r="D77" s="91">
        <f t="shared" si="5"/>
        <v>11550</v>
      </c>
      <c r="E77" s="92">
        <f>C77*Measures!$C$2</f>
        <v>10395</v>
      </c>
      <c r="F77" s="2038"/>
      <c r="G77" s="93" t="s">
        <v>247</v>
      </c>
      <c r="H77" s="2040"/>
      <c r="I77" s="16"/>
    </row>
    <row r="78" spans="1:9" x14ac:dyDescent="0.25">
      <c r="A78" s="2035" t="s">
        <v>314</v>
      </c>
      <c r="B78" s="2036"/>
      <c r="C78" s="90">
        <v>12200</v>
      </c>
      <c r="D78" s="91">
        <f t="shared" si="5"/>
        <v>12200</v>
      </c>
      <c r="E78" s="92">
        <f>C78*Measures!$C$2</f>
        <v>10980</v>
      </c>
      <c r="F78" s="2038"/>
      <c r="G78" s="93" t="s">
        <v>247</v>
      </c>
      <c r="H78" s="2040"/>
      <c r="I78" s="16"/>
    </row>
    <row r="79" spans="1:9" ht="14.45" customHeight="1" x14ac:dyDescent="0.25">
      <c r="A79" s="2035" t="s">
        <v>315</v>
      </c>
      <c r="B79" s="2036"/>
      <c r="C79" s="502">
        <v>12350</v>
      </c>
      <c r="D79" s="503">
        <f t="shared" si="5"/>
        <v>12350</v>
      </c>
      <c r="E79" s="92">
        <f>C79*Measures!$C$2</f>
        <v>11115</v>
      </c>
      <c r="F79" s="2038"/>
      <c r="G79" s="93" t="s">
        <v>247</v>
      </c>
      <c r="H79" s="2041"/>
    </row>
    <row r="80" spans="1:9" s="2" customFormat="1" ht="17.45" hidden="1" customHeight="1" x14ac:dyDescent="0.25">
      <c r="A80" s="97" t="s">
        <v>44</v>
      </c>
      <c r="B80" s="100"/>
      <c r="C80" s="98"/>
      <c r="D80" s="98"/>
      <c r="E80" s="92">
        <f>C80*Measures!$C$2</f>
        <v>0</v>
      </c>
      <c r="F80" s="99"/>
      <c r="G80" s="100"/>
      <c r="H80" s="88"/>
    </row>
    <row r="81" spans="1:8" s="2" customFormat="1" ht="28.5" hidden="1" customHeight="1" x14ac:dyDescent="0.25">
      <c r="A81" s="101" t="s">
        <v>316</v>
      </c>
      <c r="B81" s="113"/>
      <c r="C81" s="94">
        <v>250</v>
      </c>
      <c r="D81" s="102">
        <f>C81</f>
        <v>250</v>
      </c>
      <c r="E81" s="92">
        <f>C81*Measures!$C$2</f>
        <v>225</v>
      </c>
      <c r="F81" s="103" t="s">
        <v>31</v>
      </c>
      <c r="G81" s="104" t="s">
        <v>247</v>
      </c>
      <c r="H81" s="105" t="s">
        <v>317</v>
      </c>
    </row>
    <row r="82" spans="1:8" s="2" customFormat="1" ht="14.45" customHeight="1" x14ac:dyDescent="0.25">
      <c r="A82" s="2033" t="s">
        <v>1642</v>
      </c>
      <c r="B82" s="2034"/>
      <c r="C82" s="90">
        <v>600</v>
      </c>
      <c r="D82" s="514">
        <f>C82</f>
        <v>600</v>
      </c>
      <c r="E82" s="92">
        <f>C82*Measures!$C$2</f>
        <v>540</v>
      </c>
      <c r="F82" s="505"/>
      <c r="G82" s="104" t="s">
        <v>247</v>
      </c>
      <c r="H82" s="120" t="s">
        <v>1643</v>
      </c>
    </row>
    <row r="83" spans="1:8" s="2" customFormat="1" ht="14.45" customHeight="1" x14ac:dyDescent="0.25">
      <c r="A83" s="2016" t="s">
        <v>1665</v>
      </c>
      <c r="B83" s="2017"/>
      <c r="C83" s="94">
        <v>1000</v>
      </c>
      <c r="D83" s="504">
        <f>C83</f>
        <v>1000</v>
      </c>
      <c r="E83" s="92">
        <f>C83*Measures!$C$2</f>
        <v>900</v>
      </c>
      <c r="F83" s="505"/>
      <c r="G83" s="104" t="s">
        <v>247</v>
      </c>
      <c r="H83" s="105" t="s">
        <v>1666</v>
      </c>
    </row>
    <row r="84" spans="1:8" s="2" customFormat="1" ht="17.45" customHeight="1" x14ac:dyDescent="0.25">
      <c r="A84" s="2030" t="s">
        <v>318</v>
      </c>
      <c r="B84" s="2031"/>
      <c r="C84" s="2031"/>
      <c r="D84" s="2031"/>
      <c r="E84" s="2031"/>
      <c r="F84" s="2031"/>
      <c r="G84" s="2031"/>
      <c r="H84" s="2032"/>
    </row>
    <row r="85" spans="1:8" s="2" customFormat="1" ht="28.5" customHeight="1" x14ac:dyDescent="0.25">
      <c r="A85" s="2016" t="s">
        <v>319</v>
      </c>
      <c r="B85" s="2017"/>
      <c r="C85" s="90">
        <v>5100</v>
      </c>
      <c r="D85" s="106">
        <f>C85</f>
        <v>5100</v>
      </c>
      <c r="E85" s="107">
        <f>C85*Measures!$C$2</f>
        <v>4590</v>
      </c>
      <c r="F85" s="2042" t="s">
        <v>308</v>
      </c>
      <c r="G85" s="3" t="s">
        <v>247</v>
      </c>
      <c r="H85" s="2043" t="s">
        <v>1658</v>
      </c>
    </row>
    <row r="86" spans="1:8" s="2" customFormat="1" ht="28.5" customHeight="1" x14ac:dyDescent="0.25">
      <c r="A86" s="2016" t="s">
        <v>320</v>
      </c>
      <c r="B86" s="2017"/>
      <c r="C86" s="90">
        <v>5250</v>
      </c>
      <c r="D86" s="106">
        <f t="shared" ref="D86:D87" si="6">C86</f>
        <v>5250</v>
      </c>
      <c r="E86" s="107">
        <f>C86*Measures!$C$2</f>
        <v>4725</v>
      </c>
      <c r="F86" s="2042"/>
      <c r="G86" s="3" t="s">
        <v>247</v>
      </c>
      <c r="H86" s="2043"/>
    </row>
    <row r="87" spans="1:8" s="2" customFormat="1" ht="28.5" customHeight="1" x14ac:dyDescent="0.25">
      <c r="A87" s="2016" t="s">
        <v>321</v>
      </c>
      <c r="B87" s="2017"/>
      <c r="C87" s="90">
        <v>5450</v>
      </c>
      <c r="D87" s="106">
        <f t="shared" si="6"/>
        <v>5450</v>
      </c>
      <c r="E87" s="107">
        <f>C87*Measures!$C$2</f>
        <v>4905</v>
      </c>
      <c r="F87" s="2042"/>
      <c r="G87" s="3" t="s">
        <v>247</v>
      </c>
      <c r="H87" s="2043"/>
    </row>
    <row r="88" spans="1:8" s="2" customFormat="1" ht="28.5" customHeight="1" x14ac:dyDescent="0.25">
      <c r="A88" s="2016" t="s">
        <v>322</v>
      </c>
      <c r="B88" s="2017"/>
      <c r="C88" s="108"/>
      <c r="D88" s="109"/>
      <c r="E88" s="110"/>
      <c r="F88" s="111"/>
      <c r="G88" s="3"/>
      <c r="H88" s="112" t="s">
        <v>323</v>
      </c>
    </row>
    <row r="89" spans="1:8" s="113" customFormat="1" ht="17.45" customHeight="1" x14ac:dyDescent="0.25">
      <c r="A89" s="2030" t="s">
        <v>324</v>
      </c>
      <c r="B89" s="2031"/>
      <c r="C89" s="2031"/>
      <c r="D89" s="2031"/>
      <c r="E89" s="2031"/>
      <c r="F89" s="2031"/>
      <c r="G89" s="2031"/>
      <c r="H89" s="2032"/>
    </row>
    <row r="90" spans="1:8" s="2" customFormat="1" ht="34.5" customHeight="1" x14ac:dyDescent="0.25">
      <c r="A90" s="2016" t="s">
        <v>325</v>
      </c>
      <c r="B90" s="2017"/>
      <c r="C90" s="90">
        <v>635</v>
      </c>
      <c r="D90" s="91">
        <f>C90</f>
        <v>635</v>
      </c>
      <c r="E90" s="114">
        <v>570</v>
      </c>
      <c r="F90" s="2044" t="s">
        <v>31</v>
      </c>
      <c r="G90" s="3" t="s">
        <v>247</v>
      </c>
      <c r="H90" s="2043" t="s">
        <v>1659</v>
      </c>
    </row>
    <row r="91" spans="1:8" s="2" customFormat="1" ht="34.5" customHeight="1" x14ac:dyDescent="0.25">
      <c r="A91" s="2016" t="s">
        <v>326</v>
      </c>
      <c r="B91" s="2017"/>
      <c r="C91" s="90">
        <v>750</v>
      </c>
      <c r="D91" s="91">
        <f t="shared" ref="D91:D92" si="7">C91</f>
        <v>750</v>
      </c>
      <c r="E91" s="92">
        <v>675</v>
      </c>
      <c r="F91" s="2045"/>
      <c r="G91" s="3" t="s">
        <v>247</v>
      </c>
      <c r="H91" s="2043"/>
    </row>
    <row r="92" spans="1:8" s="2" customFormat="1" ht="34.5" customHeight="1" x14ac:dyDescent="0.25">
      <c r="A92" s="2016" t="s">
        <v>327</v>
      </c>
      <c r="B92" s="2017"/>
      <c r="C92" s="90">
        <v>920</v>
      </c>
      <c r="D92" s="91">
        <f t="shared" si="7"/>
        <v>920</v>
      </c>
      <c r="E92" s="92">
        <v>830</v>
      </c>
      <c r="F92" s="2045"/>
      <c r="G92" s="3" t="s">
        <v>247</v>
      </c>
      <c r="H92" s="2043"/>
    </row>
    <row r="93" spans="1:8" s="2" customFormat="1" ht="30" x14ac:dyDescent="0.25">
      <c r="A93" s="2016" t="s">
        <v>1009</v>
      </c>
      <c r="B93" s="2017"/>
      <c r="C93" s="49"/>
      <c r="D93" s="50"/>
      <c r="E93" s="115"/>
      <c r="F93" s="116"/>
      <c r="G93" s="3" t="s">
        <v>247</v>
      </c>
      <c r="H93" s="117" t="s">
        <v>328</v>
      </c>
    </row>
    <row r="94" spans="1:8" s="2" customFormat="1" ht="17.45" customHeight="1" x14ac:dyDescent="0.25">
      <c r="A94" s="2030" t="s">
        <v>329</v>
      </c>
      <c r="B94" s="2031"/>
      <c r="C94" s="2031"/>
      <c r="D94" s="2031"/>
      <c r="E94" s="2031"/>
      <c r="F94" s="2031"/>
      <c r="G94" s="2031"/>
      <c r="H94" s="2032"/>
    </row>
    <row r="95" spans="1:8" s="2" customFormat="1" ht="75" x14ac:dyDescent="0.25">
      <c r="A95" s="2024" t="s">
        <v>40</v>
      </c>
      <c r="B95" s="2025"/>
      <c r="C95" s="90">
        <v>380</v>
      </c>
      <c r="D95" s="91">
        <f>C95</f>
        <v>380</v>
      </c>
      <c r="E95" s="92">
        <f>Measures!C20</f>
        <v>340</v>
      </c>
      <c r="F95" s="118">
        <v>275</v>
      </c>
      <c r="G95" s="119" t="s">
        <v>247</v>
      </c>
      <c r="H95" s="120" t="s">
        <v>1702</v>
      </c>
    </row>
    <row r="96" spans="1:8" s="2" customFormat="1" ht="45" x14ac:dyDescent="0.25">
      <c r="A96" s="2016" t="s">
        <v>330</v>
      </c>
      <c r="B96" s="2017"/>
      <c r="C96" s="90">
        <v>525</v>
      </c>
      <c r="D96" s="121">
        <f t="shared" ref="D96:D100" si="8">C96</f>
        <v>525</v>
      </c>
      <c r="E96" s="122">
        <f>Measures!C12</f>
        <v>475</v>
      </c>
      <c r="F96" s="123">
        <v>225</v>
      </c>
      <c r="G96" s="22" t="s">
        <v>247</v>
      </c>
      <c r="H96" s="70" t="s">
        <v>331</v>
      </c>
    </row>
    <row r="97" spans="1:8" s="2" customFormat="1" ht="45" x14ac:dyDescent="0.25">
      <c r="A97" s="2016" t="s">
        <v>332</v>
      </c>
      <c r="B97" s="2017"/>
      <c r="C97" s="90">
        <v>650</v>
      </c>
      <c r="D97" s="121">
        <f t="shared" si="8"/>
        <v>650</v>
      </c>
      <c r="E97" s="122">
        <f>Measures!C13</f>
        <v>585</v>
      </c>
      <c r="F97" s="123">
        <v>225</v>
      </c>
      <c r="G97" s="22" t="s">
        <v>247</v>
      </c>
      <c r="H97" s="70" t="s">
        <v>331</v>
      </c>
    </row>
    <row r="98" spans="1:8" s="2" customFormat="1" ht="60" customHeight="1" x14ac:dyDescent="0.25">
      <c r="A98" s="2016" t="s">
        <v>333</v>
      </c>
      <c r="B98" s="2017"/>
      <c r="C98" s="90">
        <v>505</v>
      </c>
      <c r="D98" s="121">
        <f t="shared" si="8"/>
        <v>505</v>
      </c>
      <c r="E98" s="122">
        <f>Measures!C14</f>
        <v>455</v>
      </c>
      <c r="F98" s="123">
        <f>Measures!D14</f>
        <v>200</v>
      </c>
      <c r="G98" s="60" t="s">
        <v>334</v>
      </c>
      <c r="H98" s="70" t="s">
        <v>335</v>
      </c>
    </row>
    <row r="99" spans="1:8" s="2" customFormat="1" ht="30" x14ac:dyDescent="0.25">
      <c r="A99" s="2016" t="s">
        <v>336</v>
      </c>
      <c r="B99" s="2017"/>
      <c r="C99" s="90">
        <v>800</v>
      </c>
      <c r="D99" s="91">
        <f t="shared" si="8"/>
        <v>800</v>
      </c>
      <c r="E99" s="92">
        <f>C99</f>
        <v>800</v>
      </c>
      <c r="F99" s="124"/>
      <c r="G99" s="125" t="s">
        <v>247</v>
      </c>
      <c r="H99" s="120" t="s">
        <v>1660</v>
      </c>
    </row>
    <row r="100" spans="1:8" s="2" customFormat="1" x14ac:dyDescent="0.25">
      <c r="A100" s="2016" t="s">
        <v>337</v>
      </c>
      <c r="B100" s="2017"/>
      <c r="C100" s="90">
        <v>800</v>
      </c>
      <c r="D100" s="91">
        <f t="shared" si="8"/>
        <v>800</v>
      </c>
      <c r="E100" s="92">
        <f>C100</f>
        <v>800</v>
      </c>
      <c r="F100" s="124"/>
      <c r="G100" s="125" t="s">
        <v>247</v>
      </c>
      <c r="H100" s="120" t="s">
        <v>338</v>
      </c>
    </row>
    <row r="101" spans="1:8" s="2" customFormat="1" ht="30" x14ac:dyDescent="0.25">
      <c r="A101" s="2016" t="s">
        <v>339</v>
      </c>
      <c r="B101" s="2019"/>
      <c r="C101" s="126"/>
      <c r="D101" s="127"/>
      <c r="E101" s="128"/>
      <c r="F101" s="129"/>
      <c r="G101" s="119" t="s">
        <v>247</v>
      </c>
      <c r="H101" s="120" t="s">
        <v>340</v>
      </c>
    </row>
    <row r="102" spans="1:8" ht="15" customHeight="1" x14ac:dyDescent="0.25">
      <c r="A102" s="1990" t="s">
        <v>341</v>
      </c>
      <c r="B102" s="1991"/>
      <c r="C102" s="37"/>
      <c r="D102" s="130"/>
      <c r="E102" s="131"/>
      <c r="F102" s="132"/>
      <c r="G102" s="58" t="s">
        <v>247</v>
      </c>
      <c r="H102" s="133" t="s">
        <v>342</v>
      </c>
    </row>
    <row r="103" spans="1:8" x14ac:dyDescent="0.25">
      <c r="H103" s="135" t="s">
        <v>1652</v>
      </c>
    </row>
  </sheetData>
  <sheetProtection algorithmName="SHA-512" hashValue="lXYPTmemG69b5rhgNAXIrZwlsamJWCdcEm5cseZm+rXaLWbPrI5JzoSehVhrkwOGajXdj5VpbWiprCTPdbYCcg==" saltValue="g4v3KOv9fbPJNp63bRqXRw==" spinCount="100000" sheet="1" selectLockedCells="1"/>
  <mergeCells count="111">
    <mergeCell ref="A94:H94"/>
    <mergeCell ref="A71:H71"/>
    <mergeCell ref="A61:H61"/>
    <mergeCell ref="H90:H92"/>
    <mergeCell ref="A4:B4"/>
    <mergeCell ref="A55:B55"/>
    <mergeCell ref="A102:B102"/>
    <mergeCell ref="A101:B101"/>
    <mergeCell ref="A100:B100"/>
    <mergeCell ref="A99:B99"/>
    <mergeCell ref="A98:B98"/>
    <mergeCell ref="A97:B97"/>
    <mergeCell ref="A96:B96"/>
    <mergeCell ref="A95:B95"/>
    <mergeCell ref="A60:B60"/>
    <mergeCell ref="A59:B59"/>
    <mergeCell ref="A58:B58"/>
    <mergeCell ref="A57:B57"/>
    <mergeCell ref="A56:B56"/>
    <mergeCell ref="A66:B66"/>
    <mergeCell ref="A65:B65"/>
    <mergeCell ref="A64:B64"/>
    <mergeCell ref="A63:B63"/>
    <mergeCell ref="A62:B62"/>
    <mergeCell ref="A84:H84"/>
    <mergeCell ref="F85:F87"/>
    <mergeCell ref="H85:H87"/>
    <mergeCell ref="A89:H89"/>
    <mergeCell ref="F90:F92"/>
    <mergeCell ref="A67:B67"/>
    <mergeCell ref="A77:B77"/>
    <mergeCell ref="A76:B76"/>
    <mergeCell ref="A75:B75"/>
    <mergeCell ref="A74:B74"/>
    <mergeCell ref="A73:B73"/>
    <mergeCell ref="A72:B72"/>
    <mergeCell ref="A70:B70"/>
    <mergeCell ref="A69:B69"/>
    <mergeCell ref="A68:B68"/>
    <mergeCell ref="A33:B33"/>
    <mergeCell ref="A32:B32"/>
    <mergeCell ref="A31:B31"/>
    <mergeCell ref="A40:B40"/>
    <mergeCell ref="A39:B39"/>
    <mergeCell ref="A54:H54"/>
    <mergeCell ref="A93:B93"/>
    <mergeCell ref="A92:B92"/>
    <mergeCell ref="A91:B91"/>
    <mergeCell ref="A90:B90"/>
    <mergeCell ref="A88:B88"/>
    <mergeCell ref="A87:B87"/>
    <mergeCell ref="A86:B86"/>
    <mergeCell ref="A85:B85"/>
    <mergeCell ref="A83:B83"/>
    <mergeCell ref="A82:B82"/>
    <mergeCell ref="A79:B79"/>
    <mergeCell ref="A78:B78"/>
    <mergeCell ref="F55:F60"/>
    <mergeCell ref="H55:H60"/>
    <mergeCell ref="F62:F69"/>
    <mergeCell ref="H62:H69"/>
    <mergeCell ref="F72:F79"/>
    <mergeCell ref="H72:H79"/>
    <mergeCell ref="A42:B42"/>
    <mergeCell ref="A41:B41"/>
    <mergeCell ref="A15:B15"/>
    <mergeCell ref="A16:B16"/>
    <mergeCell ref="A17:B17"/>
    <mergeCell ref="A20:B20"/>
    <mergeCell ref="A46:H46"/>
    <mergeCell ref="A53:B53"/>
    <mergeCell ref="A52:B52"/>
    <mergeCell ref="A51:B51"/>
    <mergeCell ref="A50:B50"/>
    <mergeCell ref="A49:B49"/>
    <mergeCell ref="A25:B25"/>
    <mergeCell ref="A24:B24"/>
    <mergeCell ref="A23:B23"/>
    <mergeCell ref="A22:B22"/>
    <mergeCell ref="A21:B21"/>
    <mergeCell ref="A30:B30"/>
    <mergeCell ref="A29:B29"/>
    <mergeCell ref="A28:B28"/>
    <mergeCell ref="A27:B27"/>
    <mergeCell ref="A26:B26"/>
    <mergeCell ref="A35:B35"/>
    <mergeCell ref="A34:B34"/>
    <mergeCell ref="G6:G8"/>
    <mergeCell ref="A19:B19"/>
    <mergeCell ref="F49:F53"/>
    <mergeCell ref="H49:H53"/>
    <mergeCell ref="A1:H1"/>
    <mergeCell ref="A2:H3"/>
    <mergeCell ref="G15:G17"/>
    <mergeCell ref="H15:H17"/>
    <mergeCell ref="A18:H18"/>
    <mergeCell ref="H6:H8"/>
    <mergeCell ref="A6:A8"/>
    <mergeCell ref="A9:B9"/>
    <mergeCell ref="A10:B10"/>
    <mergeCell ref="A11:B11"/>
    <mergeCell ref="A12:B12"/>
    <mergeCell ref="A13:B13"/>
    <mergeCell ref="A14:B14"/>
    <mergeCell ref="A47:H47"/>
    <mergeCell ref="A38:B38"/>
    <mergeCell ref="A37:B37"/>
    <mergeCell ref="A36:B36"/>
    <mergeCell ref="A45:B45"/>
    <mergeCell ref="A44:B44"/>
    <mergeCell ref="A43:B43"/>
  </mergeCells>
  <printOptions gridLines="1"/>
  <pageMargins left="0.7" right="0.7" top="0.22500000000000001" bottom="0.22500000000000001" header="0.3" footer="0.3"/>
  <pageSetup scale="65" fitToHeight="0" pageOrder="overThenDown"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F837-4DBA-47AD-B359-F4E39036BFC9}">
  <dimension ref="A1:G57"/>
  <sheetViews>
    <sheetView workbookViewId="0">
      <selection sqref="A1:G1"/>
    </sheetView>
  </sheetViews>
  <sheetFormatPr defaultColWidth="9.140625" defaultRowHeight="15" x14ac:dyDescent="0.25"/>
  <cols>
    <col min="1" max="1" width="35.7109375" style="2" customWidth="1"/>
    <col min="2" max="2" width="10" style="3" customWidth="1"/>
    <col min="3" max="3" width="14.42578125" style="3" customWidth="1"/>
    <col min="4" max="4" width="79.85546875" style="2" customWidth="1"/>
    <col min="5" max="6" width="9.5703125" style="3" customWidth="1"/>
    <col min="7" max="7" width="10.7109375" style="3" customWidth="1"/>
  </cols>
  <sheetData>
    <row r="1" spans="1:7" ht="22.5" customHeight="1" x14ac:dyDescent="0.25">
      <c r="A1" s="2054" t="s">
        <v>1684</v>
      </c>
      <c r="B1" s="2054"/>
      <c r="C1" s="2054"/>
      <c r="D1" s="2054"/>
      <c r="E1" s="2054"/>
      <c r="F1" s="2054"/>
      <c r="G1" s="2054"/>
    </row>
    <row r="2" spans="1:7" ht="22.5" customHeight="1" thickBot="1" x14ac:dyDescent="0.3">
      <c r="A2" s="2055" t="s">
        <v>520</v>
      </c>
      <c r="B2" s="2055"/>
      <c r="C2" s="2055"/>
      <c r="D2" s="2055"/>
      <c r="E2" s="2055"/>
      <c r="F2" s="2055"/>
      <c r="G2" s="2055"/>
    </row>
    <row r="3" spans="1:7" s="208" customFormat="1" ht="48" thickBot="1" x14ac:dyDescent="0.3">
      <c r="A3" s="203" t="s">
        <v>521</v>
      </c>
      <c r="B3" s="204" t="s">
        <v>522</v>
      </c>
      <c r="C3" s="205" t="s">
        <v>223</v>
      </c>
      <c r="D3" s="206" t="s">
        <v>523</v>
      </c>
      <c r="E3" s="204" t="s">
        <v>524</v>
      </c>
      <c r="F3" s="204" t="s">
        <v>525</v>
      </c>
      <c r="G3" s="207" t="s">
        <v>526</v>
      </c>
    </row>
    <row r="4" spans="1:7" ht="15" customHeight="1" x14ac:dyDescent="0.25">
      <c r="A4" s="2056" t="s">
        <v>527</v>
      </c>
      <c r="B4" s="2057"/>
      <c r="C4" s="2057"/>
      <c r="D4" s="2057"/>
      <c r="E4" s="2057"/>
      <c r="F4" s="2057"/>
      <c r="G4" s="2058"/>
    </row>
    <row r="5" spans="1:7" s="4" customFormat="1" ht="60" x14ac:dyDescent="0.25">
      <c r="A5" s="209" t="s">
        <v>363</v>
      </c>
      <c r="B5" s="210" t="s">
        <v>528</v>
      </c>
      <c r="C5" s="210" t="s">
        <v>247</v>
      </c>
      <c r="D5" s="211" t="s">
        <v>529</v>
      </c>
      <c r="E5" s="212" t="s">
        <v>454</v>
      </c>
      <c r="F5" s="212"/>
      <c r="G5" s="213" t="s">
        <v>530</v>
      </c>
    </row>
    <row r="6" spans="1:7" x14ac:dyDescent="0.25">
      <c r="A6" s="214" t="s">
        <v>364</v>
      </c>
      <c r="B6" s="210" t="s">
        <v>528</v>
      </c>
      <c r="C6" s="210" t="s">
        <v>247</v>
      </c>
      <c r="D6" s="211" t="s">
        <v>531</v>
      </c>
      <c r="E6" s="212" t="s">
        <v>454</v>
      </c>
      <c r="F6" s="212"/>
      <c r="G6" s="213" t="s">
        <v>530</v>
      </c>
    </row>
    <row r="7" spans="1:7" ht="30" x14ac:dyDescent="0.25">
      <c r="A7" s="215" t="s">
        <v>365</v>
      </c>
      <c r="B7" s="210" t="s">
        <v>528</v>
      </c>
      <c r="C7" s="210" t="s">
        <v>247</v>
      </c>
      <c r="D7" s="211" t="s">
        <v>532</v>
      </c>
      <c r="E7" s="212" t="s">
        <v>454</v>
      </c>
      <c r="F7" s="212"/>
      <c r="G7" s="213" t="s">
        <v>530</v>
      </c>
    </row>
    <row r="8" spans="1:7" ht="30" x14ac:dyDescent="0.25">
      <c r="A8" s="216" t="s">
        <v>366</v>
      </c>
      <c r="B8" s="202" t="s">
        <v>528</v>
      </c>
      <c r="C8" s="202" t="s">
        <v>247</v>
      </c>
      <c r="D8" s="211" t="s">
        <v>533</v>
      </c>
      <c r="E8" s="212" t="s">
        <v>454</v>
      </c>
      <c r="F8" s="212"/>
      <c r="G8" s="213" t="s">
        <v>530</v>
      </c>
    </row>
    <row r="9" spans="1:7" ht="30" x14ac:dyDescent="0.25">
      <c r="A9" s="216" t="s">
        <v>367</v>
      </c>
      <c r="B9" s="210" t="s">
        <v>528</v>
      </c>
      <c r="C9" s="210" t="s">
        <v>247</v>
      </c>
      <c r="D9" s="211" t="s">
        <v>533</v>
      </c>
      <c r="E9" s="212" t="s">
        <v>454</v>
      </c>
      <c r="F9" s="212"/>
      <c r="G9" s="213" t="s">
        <v>530</v>
      </c>
    </row>
    <row r="10" spans="1:7" ht="30" x14ac:dyDescent="0.25">
      <c r="A10" s="216" t="s">
        <v>534</v>
      </c>
      <c r="B10" s="210" t="s">
        <v>528</v>
      </c>
      <c r="C10" s="210" t="s">
        <v>247</v>
      </c>
      <c r="D10" s="211" t="s">
        <v>535</v>
      </c>
      <c r="E10" s="212" t="s">
        <v>454</v>
      </c>
      <c r="F10" s="212"/>
      <c r="G10" s="213" t="s">
        <v>530</v>
      </c>
    </row>
    <row r="11" spans="1:7" x14ac:dyDescent="0.25">
      <c r="A11" s="2059" t="s">
        <v>536</v>
      </c>
      <c r="B11" s="2060"/>
      <c r="C11" s="2060"/>
      <c r="D11" s="2060"/>
      <c r="E11" s="2060"/>
      <c r="F11" s="2060"/>
      <c r="G11" s="2061"/>
    </row>
    <row r="12" spans="1:7" ht="15" customHeight="1" x14ac:dyDescent="0.25">
      <c r="A12" s="2062" t="s">
        <v>537</v>
      </c>
      <c r="B12" s="2063"/>
      <c r="C12" s="2063"/>
      <c r="D12" s="2063"/>
      <c r="E12" s="2063"/>
      <c r="F12" s="2063"/>
      <c r="G12" s="2064"/>
    </row>
    <row r="13" spans="1:7" ht="30" x14ac:dyDescent="0.25">
      <c r="A13" s="215" t="s">
        <v>538</v>
      </c>
      <c r="B13" s="217">
        <v>1.3</v>
      </c>
      <c r="C13" s="210" t="s">
        <v>539</v>
      </c>
      <c r="D13" s="211" t="s">
        <v>540</v>
      </c>
      <c r="E13" s="212"/>
      <c r="F13" s="212" t="s">
        <v>530</v>
      </c>
      <c r="G13" s="213"/>
    </row>
    <row r="14" spans="1:7" x14ac:dyDescent="0.25">
      <c r="A14" s="215" t="s">
        <v>370</v>
      </c>
      <c r="B14" s="218">
        <v>505</v>
      </c>
      <c r="C14" s="210" t="s">
        <v>247</v>
      </c>
      <c r="D14" s="211" t="s">
        <v>541</v>
      </c>
      <c r="E14" s="202"/>
      <c r="F14" s="212"/>
      <c r="G14" s="213" t="s">
        <v>530</v>
      </c>
    </row>
    <row r="15" spans="1:7" ht="30" x14ac:dyDescent="0.25">
      <c r="A15" s="215" t="s">
        <v>371</v>
      </c>
      <c r="B15" s="210" t="s">
        <v>528</v>
      </c>
      <c r="C15" s="212" t="s">
        <v>542</v>
      </c>
      <c r="D15" s="211" t="s">
        <v>541</v>
      </c>
      <c r="E15" s="212" t="s">
        <v>530</v>
      </c>
      <c r="F15" s="212"/>
      <c r="G15" s="213"/>
    </row>
    <row r="16" spans="1:7" ht="30" x14ac:dyDescent="0.25">
      <c r="A16" s="215" t="s">
        <v>373</v>
      </c>
      <c r="B16" s="218" t="s">
        <v>528</v>
      </c>
      <c r="C16" s="210" t="s">
        <v>543</v>
      </c>
      <c r="D16" s="211" t="s">
        <v>544</v>
      </c>
      <c r="E16" s="202"/>
      <c r="F16" s="212"/>
      <c r="G16" s="213" t="s">
        <v>530</v>
      </c>
    </row>
    <row r="17" spans="1:7" ht="30" x14ac:dyDescent="0.25">
      <c r="A17" s="215" t="s">
        <v>374</v>
      </c>
      <c r="B17" s="218" t="s">
        <v>528</v>
      </c>
      <c r="C17" s="210" t="s">
        <v>543</v>
      </c>
      <c r="D17" s="211" t="s">
        <v>544</v>
      </c>
      <c r="E17" s="212" t="s">
        <v>454</v>
      </c>
      <c r="F17" s="212"/>
      <c r="G17" s="213" t="s">
        <v>530</v>
      </c>
    </row>
    <row r="18" spans="1:7" ht="30" x14ac:dyDescent="0.25">
      <c r="A18" s="215" t="s">
        <v>375</v>
      </c>
      <c r="B18" s="210" t="s">
        <v>528</v>
      </c>
      <c r="C18" s="210" t="s">
        <v>545</v>
      </c>
      <c r="D18" s="211" t="s">
        <v>544</v>
      </c>
      <c r="E18" s="212" t="s">
        <v>530</v>
      </c>
      <c r="F18" s="212"/>
      <c r="G18" s="213"/>
    </row>
    <row r="19" spans="1:7" ht="45" x14ac:dyDescent="0.25">
      <c r="A19" s="215" t="s">
        <v>376</v>
      </c>
      <c r="B19" s="210" t="s">
        <v>528</v>
      </c>
      <c r="C19" s="210" t="s">
        <v>545</v>
      </c>
      <c r="D19" s="211" t="s">
        <v>544</v>
      </c>
      <c r="E19" s="212" t="s">
        <v>530</v>
      </c>
      <c r="F19" s="212"/>
      <c r="G19" s="213"/>
    </row>
    <row r="20" spans="1:7" ht="45" x14ac:dyDescent="0.25">
      <c r="A20" s="215" t="s">
        <v>377</v>
      </c>
      <c r="B20" s="210" t="s">
        <v>528</v>
      </c>
      <c r="C20" s="210" t="s">
        <v>247</v>
      </c>
      <c r="D20" s="211" t="s">
        <v>546</v>
      </c>
      <c r="E20" s="212" t="s">
        <v>530</v>
      </c>
      <c r="F20" s="212"/>
      <c r="G20" s="213"/>
    </row>
    <row r="21" spans="1:7" ht="30" x14ac:dyDescent="0.25">
      <c r="A21" s="215" t="s">
        <v>378</v>
      </c>
      <c r="B21" s="210" t="s">
        <v>528</v>
      </c>
      <c r="C21" s="210" t="s">
        <v>247</v>
      </c>
      <c r="D21" s="211" t="s">
        <v>544</v>
      </c>
      <c r="E21" s="212" t="s">
        <v>530</v>
      </c>
      <c r="F21" s="212"/>
      <c r="G21" s="213"/>
    </row>
    <row r="22" spans="1:7" ht="30" x14ac:dyDescent="0.25">
      <c r="A22" s="215" t="s">
        <v>547</v>
      </c>
      <c r="B22" s="210" t="s">
        <v>528</v>
      </c>
      <c r="C22" s="212" t="s">
        <v>548</v>
      </c>
      <c r="D22" s="211" t="s">
        <v>549</v>
      </c>
      <c r="E22" s="212"/>
      <c r="F22" s="212"/>
      <c r="G22" s="213" t="s">
        <v>530</v>
      </c>
    </row>
    <row r="23" spans="1:7" ht="45" x14ac:dyDescent="0.25">
      <c r="A23" s="215" t="s">
        <v>550</v>
      </c>
      <c r="B23" s="210" t="s">
        <v>528</v>
      </c>
      <c r="C23" s="212" t="s">
        <v>548</v>
      </c>
      <c r="D23" s="211" t="s">
        <v>551</v>
      </c>
      <c r="E23" s="212" t="s">
        <v>454</v>
      </c>
      <c r="F23" s="212"/>
      <c r="G23" s="213" t="s">
        <v>530</v>
      </c>
    </row>
    <row r="24" spans="1:7" x14ac:dyDescent="0.25">
      <c r="A24" s="2062" t="s">
        <v>1029</v>
      </c>
      <c r="B24" s="2063"/>
      <c r="C24" s="2063"/>
      <c r="D24" s="2063"/>
      <c r="E24" s="2063"/>
      <c r="F24" s="2063"/>
      <c r="G24" s="2064"/>
    </row>
    <row r="25" spans="1:7" ht="75" x14ac:dyDescent="0.25">
      <c r="A25" s="215" t="s">
        <v>1021</v>
      </c>
      <c r="B25" s="218">
        <v>325</v>
      </c>
      <c r="C25" s="210" t="s">
        <v>247</v>
      </c>
      <c r="D25" s="211" t="s">
        <v>1030</v>
      </c>
      <c r="E25" s="212" t="s">
        <v>530</v>
      </c>
      <c r="F25" s="212"/>
      <c r="G25" s="213"/>
    </row>
    <row r="26" spans="1:7" ht="30" x14ac:dyDescent="0.25">
      <c r="A26" s="215" t="s">
        <v>1022</v>
      </c>
      <c r="B26" s="218" t="s">
        <v>528</v>
      </c>
      <c r="C26" s="210" t="s">
        <v>247</v>
      </c>
      <c r="D26" s="211" t="s">
        <v>1032</v>
      </c>
      <c r="E26" s="212" t="s">
        <v>530</v>
      </c>
      <c r="F26" s="212"/>
      <c r="G26" s="213"/>
    </row>
    <row r="27" spans="1:7" ht="45" x14ac:dyDescent="0.25">
      <c r="A27" s="215" t="s">
        <v>1023</v>
      </c>
      <c r="B27" s="218">
        <v>250</v>
      </c>
      <c r="C27" s="210" t="s">
        <v>247</v>
      </c>
      <c r="D27" s="211" t="s">
        <v>1031</v>
      </c>
      <c r="E27" s="212" t="s">
        <v>530</v>
      </c>
      <c r="F27" s="212"/>
      <c r="G27" s="213"/>
    </row>
    <row r="28" spans="1:7" ht="30" x14ac:dyDescent="0.25">
      <c r="A28" s="215" t="s">
        <v>1024</v>
      </c>
      <c r="B28" s="218" t="s">
        <v>528</v>
      </c>
      <c r="C28" s="210" t="s">
        <v>247</v>
      </c>
      <c r="D28" s="211" t="s">
        <v>1033</v>
      </c>
      <c r="E28" s="212" t="s">
        <v>530</v>
      </c>
      <c r="F28" s="212"/>
      <c r="G28" s="213"/>
    </row>
    <row r="29" spans="1:7" ht="30" x14ac:dyDescent="0.25">
      <c r="A29" s="215" t="s">
        <v>372</v>
      </c>
      <c r="B29" s="210" t="s">
        <v>528</v>
      </c>
      <c r="C29" s="210" t="s">
        <v>247</v>
      </c>
      <c r="D29" s="211" t="s">
        <v>1034</v>
      </c>
      <c r="E29" s="212" t="s">
        <v>530</v>
      </c>
      <c r="F29" s="212"/>
      <c r="G29" s="213"/>
    </row>
    <row r="30" spans="1:7" x14ac:dyDescent="0.25">
      <c r="A30" s="2051" t="s">
        <v>1020</v>
      </c>
      <c r="B30" s="2052"/>
      <c r="C30" s="2052"/>
      <c r="D30" s="2052"/>
      <c r="E30" s="2052"/>
      <c r="F30" s="2052"/>
      <c r="G30" s="2053"/>
    </row>
    <row r="31" spans="1:7" ht="30" x14ac:dyDescent="0.25">
      <c r="A31" s="209" t="s">
        <v>552</v>
      </c>
      <c r="B31" s="210" t="s">
        <v>528</v>
      </c>
      <c r="C31" s="219" t="s">
        <v>553</v>
      </c>
      <c r="D31" s="220" t="s">
        <v>554</v>
      </c>
      <c r="E31" s="219" t="s">
        <v>530</v>
      </c>
      <c r="F31" s="219"/>
      <c r="G31" s="221"/>
    </row>
    <row r="32" spans="1:7" ht="30" x14ac:dyDescent="0.25">
      <c r="A32" s="209" t="s">
        <v>555</v>
      </c>
      <c r="B32" s="210" t="s">
        <v>528</v>
      </c>
      <c r="C32" s="222" t="s">
        <v>556</v>
      </c>
      <c r="D32" s="223" t="s">
        <v>554</v>
      </c>
      <c r="E32" s="224" t="s">
        <v>530</v>
      </c>
      <c r="F32" s="224"/>
      <c r="G32" s="225"/>
    </row>
    <row r="33" spans="1:7" x14ac:dyDescent="0.25">
      <c r="A33" s="2048" t="s">
        <v>557</v>
      </c>
      <c r="B33" s="2049"/>
      <c r="C33" s="2049"/>
      <c r="D33" s="2049"/>
      <c r="E33" s="2049"/>
      <c r="F33" s="2049"/>
      <c r="G33" s="2050"/>
    </row>
    <row r="34" spans="1:7" ht="30" x14ac:dyDescent="0.25">
      <c r="A34" s="209" t="s">
        <v>379</v>
      </c>
      <c r="B34" s="210" t="s">
        <v>528</v>
      </c>
      <c r="C34" s="210" t="s">
        <v>558</v>
      </c>
      <c r="D34" s="223" t="s">
        <v>559</v>
      </c>
      <c r="E34" s="224" t="s">
        <v>454</v>
      </c>
      <c r="F34" s="224" t="s">
        <v>454</v>
      </c>
      <c r="G34" s="225" t="s">
        <v>530</v>
      </c>
    </row>
    <row r="35" spans="1:7" ht="45" x14ac:dyDescent="0.25">
      <c r="A35" s="215" t="s">
        <v>380</v>
      </c>
      <c r="B35" s="210" t="s">
        <v>528</v>
      </c>
      <c r="C35" s="212" t="s">
        <v>560</v>
      </c>
      <c r="D35" s="223" t="s">
        <v>561</v>
      </c>
      <c r="E35" s="224" t="s">
        <v>530</v>
      </c>
      <c r="F35" s="224"/>
      <c r="G35" s="225"/>
    </row>
    <row r="36" spans="1:7" x14ac:dyDescent="0.25">
      <c r="A36" s="2048" t="s">
        <v>562</v>
      </c>
      <c r="B36" s="2049"/>
      <c r="C36" s="2049"/>
      <c r="D36" s="2049"/>
      <c r="E36" s="2049"/>
      <c r="F36" s="2049"/>
      <c r="G36" s="2050"/>
    </row>
    <row r="37" spans="1:7" ht="30" x14ac:dyDescent="0.25">
      <c r="A37" s="215" t="s">
        <v>563</v>
      </c>
      <c r="B37" s="210" t="s">
        <v>528</v>
      </c>
      <c r="C37" s="222" t="s">
        <v>247</v>
      </c>
      <c r="D37" s="223" t="s">
        <v>564</v>
      </c>
      <c r="E37" s="224"/>
      <c r="F37" s="224"/>
      <c r="G37" s="225" t="s">
        <v>530</v>
      </c>
    </row>
    <row r="38" spans="1:7" ht="30" x14ac:dyDescent="0.25">
      <c r="A38" s="215" t="s">
        <v>565</v>
      </c>
      <c r="B38" s="218">
        <v>460</v>
      </c>
      <c r="C38" s="222" t="s">
        <v>247</v>
      </c>
      <c r="D38" s="223" t="s">
        <v>564</v>
      </c>
      <c r="E38" s="224"/>
      <c r="F38" s="224"/>
      <c r="G38" s="225" t="s">
        <v>530</v>
      </c>
    </row>
    <row r="39" spans="1:7" ht="30" x14ac:dyDescent="0.25">
      <c r="A39" s="215" t="s">
        <v>566</v>
      </c>
      <c r="B39" s="218">
        <v>865</v>
      </c>
      <c r="C39" s="222" t="s">
        <v>247</v>
      </c>
      <c r="D39" s="223" t="s">
        <v>564</v>
      </c>
      <c r="E39" s="224"/>
      <c r="F39" s="224"/>
      <c r="G39" s="225" t="s">
        <v>530</v>
      </c>
    </row>
    <row r="40" spans="1:7" ht="30" x14ac:dyDescent="0.25">
      <c r="A40" s="215" t="s">
        <v>567</v>
      </c>
      <c r="B40" s="202" t="s">
        <v>528</v>
      </c>
      <c r="C40" s="226" t="s">
        <v>568</v>
      </c>
      <c r="D40" s="223" t="s">
        <v>564</v>
      </c>
      <c r="E40" s="224"/>
      <c r="F40" s="224"/>
      <c r="G40" s="225" t="s">
        <v>530</v>
      </c>
    </row>
    <row r="41" spans="1:7" ht="60" x14ac:dyDescent="0.25">
      <c r="A41" s="215" t="s">
        <v>547</v>
      </c>
      <c r="B41" s="218" t="s">
        <v>528</v>
      </c>
      <c r="C41" s="219" t="s">
        <v>569</v>
      </c>
      <c r="D41" s="223" t="s">
        <v>570</v>
      </c>
      <c r="E41" s="224"/>
      <c r="F41" s="224"/>
      <c r="G41" s="225" t="s">
        <v>530</v>
      </c>
    </row>
    <row r="42" spans="1:7" ht="75" x14ac:dyDescent="0.25">
      <c r="A42" s="215" t="s">
        <v>78</v>
      </c>
      <c r="B42" s="218">
        <v>3000</v>
      </c>
      <c r="C42" s="219" t="s">
        <v>247</v>
      </c>
      <c r="D42" s="223" t="s">
        <v>1427</v>
      </c>
      <c r="E42" s="224"/>
      <c r="F42" s="224"/>
      <c r="G42" s="225" t="s">
        <v>530</v>
      </c>
    </row>
    <row r="43" spans="1:7" ht="75" x14ac:dyDescent="0.25">
      <c r="A43" s="215" t="s">
        <v>1426</v>
      </c>
      <c r="B43" s="218">
        <v>5000</v>
      </c>
      <c r="C43" s="219" t="s">
        <v>247</v>
      </c>
      <c r="D43" s="223" t="s">
        <v>1427</v>
      </c>
      <c r="E43" s="224"/>
      <c r="F43" s="224"/>
      <c r="G43" s="225" t="s">
        <v>530</v>
      </c>
    </row>
    <row r="44" spans="1:7" ht="15" customHeight="1" x14ac:dyDescent="0.25">
      <c r="A44" s="2051" t="s">
        <v>571</v>
      </c>
      <c r="B44" s="2052"/>
      <c r="C44" s="2052"/>
      <c r="D44" s="2052"/>
      <c r="E44" s="2052"/>
      <c r="F44" s="2052"/>
      <c r="G44" s="2053"/>
    </row>
    <row r="45" spans="1:7" s="2" customFormat="1" ht="30" x14ac:dyDescent="0.25">
      <c r="A45" s="215" t="s">
        <v>381</v>
      </c>
      <c r="B45" s="227">
        <v>112</v>
      </c>
      <c r="C45" s="226" t="s">
        <v>247</v>
      </c>
      <c r="D45" s="223" t="s">
        <v>572</v>
      </c>
      <c r="E45" s="224"/>
      <c r="F45" s="228"/>
      <c r="G45" s="225" t="s">
        <v>530</v>
      </c>
    </row>
    <row r="46" spans="1:7" ht="45" x14ac:dyDescent="0.25">
      <c r="A46" s="215" t="s">
        <v>382</v>
      </c>
      <c r="B46" s="227">
        <v>173</v>
      </c>
      <c r="C46" s="224" t="s">
        <v>573</v>
      </c>
      <c r="D46" s="223" t="s">
        <v>564</v>
      </c>
      <c r="E46" s="224"/>
      <c r="F46" s="229"/>
      <c r="G46" s="225" t="s">
        <v>530</v>
      </c>
    </row>
    <row r="47" spans="1:7" ht="30" x14ac:dyDescent="0.25">
      <c r="A47" s="215" t="s">
        <v>383</v>
      </c>
      <c r="B47" s="227">
        <v>173</v>
      </c>
      <c r="C47" s="226" t="s">
        <v>247</v>
      </c>
      <c r="D47" s="223" t="s">
        <v>564</v>
      </c>
      <c r="E47" s="224"/>
      <c r="F47" s="229"/>
      <c r="G47" s="225" t="s">
        <v>530</v>
      </c>
    </row>
    <row r="48" spans="1:7" ht="30" x14ac:dyDescent="0.25">
      <c r="A48" s="215" t="s">
        <v>574</v>
      </c>
      <c r="B48" s="227">
        <v>290</v>
      </c>
      <c r="C48" s="226" t="s">
        <v>247</v>
      </c>
      <c r="D48" s="223" t="s">
        <v>575</v>
      </c>
      <c r="E48" s="224" t="s">
        <v>530</v>
      </c>
      <c r="F48" s="224"/>
      <c r="G48" s="225"/>
    </row>
    <row r="49" spans="1:7" ht="30" x14ac:dyDescent="0.25">
      <c r="A49" s="209" t="s">
        <v>385</v>
      </c>
      <c r="B49" s="210" t="s">
        <v>528</v>
      </c>
      <c r="C49" s="222" t="s">
        <v>247</v>
      </c>
      <c r="D49" s="220" t="s">
        <v>576</v>
      </c>
      <c r="E49" s="219" t="s">
        <v>530</v>
      </c>
      <c r="F49" s="219"/>
      <c r="G49" s="221"/>
    </row>
    <row r="50" spans="1:7" ht="30" x14ac:dyDescent="0.25">
      <c r="A50" s="215" t="s">
        <v>386</v>
      </c>
      <c r="B50" s="210" t="s">
        <v>528</v>
      </c>
      <c r="C50" s="222" t="s">
        <v>247</v>
      </c>
      <c r="D50" s="220" t="s">
        <v>576</v>
      </c>
      <c r="E50" s="219" t="s">
        <v>530</v>
      </c>
      <c r="F50" s="219"/>
      <c r="G50" s="221"/>
    </row>
    <row r="51" spans="1:7" ht="30" x14ac:dyDescent="0.25">
      <c r="A51" s="215" t="s">
        <v>387</v>
      </c>
      <c r="B51" s="210" t="s">
        <v>528</v>
      </c>
      <c r="C51" s="222" t="s">
        <v>543</v>
      </c>
      <c r="D51" s="220" t="s">
        <v>576</v>
      </c>
      <c r="E51" s="219" t="s">
        <v>530</v>
      </c>
      <c r="F51" s="219"/>
      <c r="G51" s="221"/>
    </row>
    <row r="52" spans="1:7" ht="30" x14ac:dyDescent="0.25">
      <c r="A52" s="215" t="s">
        <v>388</v>
      </c>
      <c r="B52" s="218" t="s">
        <v>528</v>
      </c>
      <c r="C52" s="222" t="s">
        <v>247</v>
      </c>
      <c r="D52" s="220" t="s">
        <v>577</v>
      </c>
      <c r="E52" s="219"/>
      <c r="F52" s="202"/>
      <c r="G52" s="221" t="s">
        <v>530</v>
      </c>
    </row>
    <row r="53" spans="1:7" ht="30" x14ac:dyDescent="0.25">
      <c r="A53" s="215" t="s">
        <v>578</v>
      </c>
      <c r="B53" s="218">
        <v>70</v>
      </c>
      <c r="C53" s="222" t="s">
        <v>247</v>
      </c>
      <c r="D53" s="220" t="s">
        <v>579</v>
      </c>
      <c r="E53" s="219"/>
      <c r="F53" s="202"/>
      <c r="G53" s="221" t="s">
        <v>530</v>
      </c>
    </row>
    <row r="54" spans="1:7" x14ac:dyDescent="0.25">
      <c r="A54" s="2051" t="s">
        <v>580</v>
      </c>
      <c r="B54" s="2052"/>
      <c r="C54" s="2052"/>
      <c r="D54" s="2052"/>
      <c r="E54" s="2052"/>
      <c r="F54" s="2052"/>
      <c r="G54" s="2053"/>
    </row>
    <row r="55" spans="1:7" ht="45.75" thickBot="1" x14ac:dyDescent="0.3">
      <c r="A55" s="230" t="s">
        <v>390</v>
      </c>
      <c r="B55" s="231">
        <v>190</v>
      </c>
      <c r="C55" s="232" t="s">
        <v>247</v>
      </c>
      <c r="D55" s="236" t="s">
        <v>583</v>
      </c>
      <c r="E55" s="232"/>
      <c r="F55" s="232" t="s">
        <v>530</v>
      </c>
      <c r="G55" s="233"/>
    </row>
    <row r="57" spans="1:7" x14ac:dyDescent="0.25">
      <c r="A57" s="234" t="s">
        <v>581</v>
      </c>
      <c r="D57" s="235"/>
      <c r="G57" s="235" t="s">
        <v>582</v>
      </c>
    </row>
  </sheetData>
  <sheetProtection algorithmName="SHA-512" hashValue="8XoMwoaxfndf/YNgaHwhVPYVnx6XoIegA7QYqDNDnbtyTf3GyNzVee1Y5PNCiCjBxgcz1ZgVlRsWYaii+dYNZA==" saltValue="2QQ6dzpIOSDohXv+zohLOA==" spinCount="100000" sheet="1" selectLockedCells="1"/>
  <mergeCells count="11">
    <mergeCell ref="A33:G33"/>
    <mergeCell ref="A36:G36"/>
    <mergeCell ref="A44:G44"/>
    <mergeCell ref="A54:G54"/>
    <mergeCell ref="A1:G1"/>
    <mergeCell ref="A2:G2"/>
    <mergeCell ref="A4:G4"/>
    <mergeCell ref="A11:G11"/>
    <mergeCell ref="A12:G12"/>
    <mergeCell ref="A30:G30"/>
    <mergeCell ref="A24:G24"/>
  </mergeCells>
  <pageMargins left="0.45" right="0.45" top="0.5" bottom="0.5" header="0.3" footer="0.3"/>
  <pageSetup scale="75"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6C17-3593-4F85-8EA9-A5801BA2FF8D}">
  <dimension ref="A1:V94"/>
  <sheetViews>
    <sheetView topLeftCell="A69" workbookViewId="0">
      <selection activeCell="B95" sqref="B95"/>
    </sheetView>
  </sheetViews>
  <sheetFormatPr defaultRowHeight="15" x14ac:dyDescent="0.25"/>
  <cols>
    <col min="1" max="1" width="10.5703125" bestFit="1" customWidth="1"/>
  </cols>
  <sheetData>
    <row r="1" spans="1:2" x14ac:dyDescent="0.25">
      <c r="A1" t="s">
        <v>891</v>
      </c>
    </row>
    <row r="2" spans="1:2" x14ac:dyDescent="0.25">
      <c r="A2" s="23">
        <v>45273</v>
      </c>
      <c r="B2" t="s">
        <v>892</v>
      </c>
    </row>
    <row r="3" spans="1:2" x14ac:dyDescent="0.25">
      <c r="A3" s="23">
        <v>45348</v>
      </c>
      <c r="B3" t="s">
        <v>1017</v>
      </c>
    </row>
    <row r="4" spans="1:2" x14ac:dyDescent="0.25">
      <c r="B4" t="s">
        <v>1018</v>
      </c>
    </row>
    <row r="5" spans="1:2" x14ac:dyDescent="0.25">
      <c r="B5" t="s">
        <v>1019</v>
      </c>
    </row>
    <row r="6" spans="1:2" x14ac:dyDescent="0.25">
      <c r="A6" t="s">
        <v>1413</v>
      </c>
      <c r="B6" t="s">
        <v>1414</v>
      </c>
    </row>
    <row r="7" spans="1:2" x14ac:dyDescent="0.25">
      <c r="B7" t="s">
        <v>1415</v>
      </c>
    </row>
    <row r="8" spans="1:2" x14ac:dyDescent="0.25">
      <c r="A8" s="23">
        <v>45413</v>
      </c>
      <c r="B8" t="s">
        <v>1416</v>
      </c>
    </row>
    <row r="9" spans="1:2" x14ac:dyDescent="0.25">
      <c r="A9" t="s">
        <v>1420</v>
      </c>
      <c r="B9" t="s">
        <v>1419</v>
      </c>
    </row>
    <row r="10" spans="1:2" x14ac:dyDescent="0.25">
      <c r="A10" t="s">
        <v>1424</v>
      </c>
      <c r="B10" t="s">
        <v>1425</v>
      </c>
    </row>
    <row r="15" spans="1:2" x14ac:dyDescent="0.25">
      <c r="A15" t="s">
        <v>1421</v>
      </c>
    </row>
    <row r="16" spans="1:2" x14ac:dyDescent="0.25">
      <c r="A16" s="473">
        <v>45545</v>
      </c>
      <c r="B16" t="s">
        <v>1422</v>
      </c>
    </row>
    <row r="17" spans="1:4" x14ac:dyDescent="0.25">
      <c r="B17" t="s">
        <v>1429</v>
      </c>
    </row>
    <row r="18" spans="1:4" x14ac:dyDescent="0.25">
      <c r="A18" s="473">
        <v>45561</v>
      </c>
      <c r="B18" t="s">
        <v>1439</v>
      </c>
      <c r="D18" t="s">
        <v>1440</v>
      </c>
    </row>
    <row r="19" spans="1:4" x14ac:dyDescent="0.25">
      <c r="A19" s="473">
        <v>45547</v>
      </c>
      <c r="B19" t="s">
        <v>1435</v>
      </c>
    </row>
    <row r="20" spans="1:4" x14ac:dyDescent="0.25">
      <c r="A20" s="473">
        <v>45546</v>
      </c>
      <c r="B20" t="s">
        <v>1432</v>
      </c>
    </row>
    <row r="21" spans="1:4" x14ac:dyDescent="0.25">
      <c r="A21" s="473">
        <v>45561</v>
      </c>
      <c r="B21" t="s">
        <v>1434</v>
      </c>
    </row>
    <row r="22" spans="1:4" x14ac:dyDescent="0.25">
      <c r="A22" s="473">
        <v>45561</v>
      </c>
      <c r="B22" t="s">
        <v>1522</v>
      </c>
    </row>
    <row r="23" spans="1:4" x14ac:dyDescent="0.25">
      <c r="A23" s="473">
        <v>45561</v>
      </c>
      <c r="B23" t="s">
        <v>1441</v>
      </c>
    </row>
    <row r="24" spans="1:4" x14ac:dyDescent="0.25">
      <c r="A24" t="s">
        <v>1497</v>
      </c>
    </row>
    <row r="25" spans="1:4" x14ac:dyDescent="0.25">
      <c r="A25" s="473">
        <v>45583</v>
      </c>
      <c r="B25" t="s">
        <v>1498</v>
      </c>
    </row>
    <row r="26" spans="1:4" x14ac:dyDescent="0.25">
      <c r="A26" s="473">
        <v>45586</v>
      </c>
      <c r="B26" t="s">
        <v>1523</v>
      </c>
    </row>
    <row r="27" spans="1:4" x14ac:dyDescent="0.25">
      <c r="A27" s="473">
        <v>45586</v>
      </c>
      <c r="B27" t="s">
        <v>1524</v>
      </c>
    </row>
    <row r="28" spans="1:4" x14ac:dyDescent="0.25">
      <c r="A28" s="473">
        <v>45586</v>
      </c>
      <c r="B28" t="s">
        <v>1520</v>
      </c>
    </row>
    <row r="29" spans="1:4" x14ac:dyDescent="0.25">
      <c r="A29" s="473">
        <v>45586</v>
      </c>
      <c r="B29" t="s">
        <v>1521</v>
      </c>
    </row>
    <row r="30" spans="1:4" x14ac:dyDescent="0.25">
      <c r="A30" s="473">
        <v>45589</v>
      </c>
      <c r="B30" t="s">
        <v>1526</v>
      </c>
    </row>
    <row r="31" spans="1:4" x14ac:dyDescent="0.25">
      <c r="A31" s="473">
        <v>45594</v>
      </c>
      <c r="B31" t="s">
        <v>1566</v>
      </c>
    </row>
    <row r="32" spans="1:4" x14ac:dyDescent="0.25">
      <c r="A32" t="s">
        <v>1592</v>
      </c>
      <c r="B32" t="s">
        <v>1593</v>
      </c>
    </row>
    <row r="33" spans="1:3" x14ac:dyDescent="0.25">
      <c r="B33" t="s">
        <v>1594</v>
      </c>
    </row>
    <row r="34" spans="1:3" x14ac:dyDescent="0.25">
      <c r="A34" t="s">
        <v>1595</v>
      </c>
    </row>
    <row r="35" spans="1:3" x14ac:dyDescent="0.25">
      <c r="A35" s="473">
        <v>45614</v>
      </c>
      <c r="B35" t="s">
        <v>1596</v>
      </c>
    </row>
    <row r="36" spans="1:3" x14ac:dyDescent="0.25">
      <c r="A36" t="s">
        <v>1608</v>
      </c>
      <c r="B36" t="s">
        <v>1609</v>
      </c>
    </row>
    <row r="37" spans="1:3" x14ac:dyDescent="0.25">
      <c r="A37" t="s">
        <v>1610</v>
      </c>
    </row>
    <row r="38" spans="1:3" x14ac:dyDescent="0.25">
      <c r="A38" s="473">
        <v>45617</v>
      </c>
      <c r="B38" t="s">
        <v>1607</v>
      </c>
    </row>
    <row r="39" spans="1:3" x14ac:dyDescent="0.25">
      <c r="A39" s="23">
        <v>45642</v>
      </c>
      <c r="B39" t="s">
        <v>1623</v>
      </c>
    </row>
    <row r="40" spans="1:3" x14ac:dyDescent="0.25">
      <c r="A40" t="s">
        <v>1628</v>
      </c>
    </row>
    <row r="41" spans="1:3" x14ac:dyDescent="0.25">
      <c r="A41" s="23">
        <v>45702</v>
      </c>
      <c r="B41" t="s">
        <v>1636</v>
      </c>
    </row>
    <row r="42" spans="1:3" x14ac:dyDescent="0.25">
      <c r="B42" t="s">
        <v>1629</v>
      </c>
    </row>
    <row r="43" spans="1:3" x14ac:dyDescent="0.25">
      <c r="B43" t="s">
        <v>1630</v>
      </c>
    </row>
    <row r="44" spans="1:3" x14ac:dyDescent="0.25">
      <c r="B44" t="s">
        <v>1631</v>
      </c>
    </row>
    <row r="45" spans="1:3" x14ac:dyDescent="0.25">
      <c r="C45" t="s">
        <v>1632</v>
      </c>
    </row>
    <row r="46" spans="1:3" x14ac:dyDescent="0.25">
      <c r="C46" t="s">
        <v>1633</v>
      </c>
    </row>
    <row r="47" spans="1:3" x14ac:dyDescent="0.25">
      <c r="C47" t="s">
        <v>1634</v>
      </c>
    </row>
    <row r="48" spans="1:3" x14ac:dyDescent="0.25">
      <c r="B48" t="s">
        <v>1635</v>
      </c>
    </row>
    <row r="49" spans="1:2" x14ac:dyDescent="0.25">
      <c r="A49" t="s">
        <v>1649</v>
      </c>
    </row>
    <row r="50" spans="1:2" x14ac:dyDescent="0.25">
      <c r="A50" s="23">
        <v>45768</v>
      </c>
      <c r="B50" t="s">
        <v>1639</v>
      </c>
    </row>
    <row r="51" spans="1:2" x14ac:dyDescent="0.25">
      <c r="B51" t="s">
        <v>1640</v>
      </c>
    </row>
    <row r="52" spans="1:2" x14ac:dyDescent="0.25">
      <c r="A52" s="473">
        <v>45789</v>
      </c>
      <c r="B52" t="s">
        <v>1645</v>
      </c>
    </row>
    <row r="53" spans="1:2" x14ac:dyDescent="0.25">
      <c r="B53" t="s">
        <v>1646</v>
      </c>
    </row>
    <row r="54" spans="1:2" x14ac:dyDescent="0.25">
      <c r="A54" s="23">
        <v>45798</v>
      </c>
      <c r="B54" t="s">
        <v>1647</v>
      </c>
    </row>
    <row r="55" spans="1:2" x14ac:dyDescent="0.25">
      <c r="A55" s="23" t="s">
        <v>1655</v>
      </c>
    </row>
    <row r="56" spans="1:2" x14ac:dyDescent="0.25">
      <c r="A56" s="23"/>
      <c r="B56" t="s">
        <v>1656</v>
      </c>
    </row>
    <row r="57" spans="1:2" x14ac:dyDescent="0.25">
      <c r="A57" s="23" t="s">
        <v>1654</v>
      </c>
    </row>
    <row r="58" spans="1:2" x14ac:dyDescent="0.25">
      <c r="A58" s="473">
        <v>45824</v>
      </c>
      <c r="B58" t="s">
        <v>1653</v>
      </c>
    </row>
    <row r="59" spans="1:2" x14ac:dyDescent="0.25">
      <c r="A59" t="s">
        <v>1420</v>
      </c>
      <c r="B59" t="s">
        <v>1661</v>
      </c>
    </row>
    <row r="60" spans="1:2" x14ac:dyDescent="0.25">
      <c r="B60" t="s">
        <v>1664</v>
      </c>
    </row>
    <row r="61" spans="1:2" x14ac:dyDescent="0.25">
      <c r="A61" s="23" t="s">
        <v>1424</v>
      </c>
      <c r="B61" t="s">
        <v>1662</v>
      </c>
    </row>
    <row r="62" spans="1:2" x14ac:dyDescent="0.25">
      <c r="B62" t="s">
        <v>1663</v>
      </c>
    </row>
    <row r="64" spans="1:2" x14ac:dyDescent="0.25">
      <c r="A64" t="s">
        <v>1667</v>
      </c>
    </row>
    <row r="65" spans="1:22" x14ac:dyDescent="0.25">
      <c r="A65" s="473">
        <v>45930</v>
      </c>
      <c r="B65" t="s">
        <v>1668</v>
      </c>
    </row>
    <row r="66" spans="1:22" x14ac:dyDescent="0.25">
      <c r="A66" s="473">
        <v>45930</v>
      </c>
      <c r="B66" t="s">
        <v>1669</v>
      </c>
    </row>
    <row r="67" spans="1:22" x14ac:dyDescent="0.25">
      <c r="A67" t="s">
        <v>1715</v>
      </c>
      <c r="B67" s="527" t="s">
        <v>1671</v>
      </c>
    </row>
    <row r="68" spans="1:22" x14ac:dyDescent="0.25">
      <c r="A68" s="473">
        <v>45936</v>
      </c>
      <c r="B68" t="s">
        <v>1698</v>
      </c>
    </row>
    <row r="69" spans="1:22" x14ac:dyDescent="0.25">
      <c r="A69" s="473">
        <v>45937</v>
      </c>
      <c r="B69" t="s">
        <v>1670</v>
      </c>
    </row>
    <row r="70" spans="1:22" x14ac:dyDescent="0.25">
      <c r="A70" t="s">
        <v>1705</v>
      </c>
      <c r="B70" t="s">
        <v>1685</v>
      </c>
    </row>
    <row r="71" spans="1:22" x14ac:dyDescent="0.25">
      <c r="B71" t="s">
        <v>1686</v>
      </c>
    </row>
    <row r="72" spans="1:22" x14ac:dyDescent="0.25">
      <c r="A72" s="473">
        <v>45944</v>
      </c>
      <c r="B72" t="s">
        <v>1706</v>
      </c>
    </row>
    <row r="73" spans="1:22" x14ac:dyDescent="0.25">
      <c r="A73" s="473">
        <v>45930</v>
      </c>
      <c r="B73" t="s">
        <v>1680</v>
      </c>
      <c r="U73" s="353"/>
      <c r="V73" s="353"/>
    </row>
    <row r="74" spans="1:22" x14ac:dyDescent="0.25">
      <c r="B74" t="s">
        <v>1704</v>
      </c>
    </row>
    <row r="75" spans="1:22" x14ac:dyDescent="0.25">
      <c r="A75" s="473">
        <v>45931</v>
      </c>
      <c r="B75" t="s">
        <v>1690</v>
      </c>
    </row>
    <row r="76" spans="1:22" x14ac:dyDescent="0.25">
      <c r="A76" s="473">
        <v>45931</v>
      </c>
      <c r="B76" t="s">
        <v>1689</v>
      </c>
    </row>
    <row r="77" spans="1:22" x14ac:dyDescent="0.25">
      <c r="A77" s="473">
        <v>45944</v>
      </c>
      <c r="B77" t="s">
        <v>1710</v>
      </c>
    </row>
    <row r="78" spans="1:22" x14ac:dyDescent="0.25">
      <c r="A78" s="473">
        <v>45945</v>
      </c>
      <c r="B78" t="s">
        <v>1712</v>
      </c>
    </row>
    <row r="79" spans="1:22" x14ac:dyDescent="0.25">
      <c r="A79" s="473">
        <v>45951</v>
      </c>
      <c r="B79" t="s">
        <v>1716</v>
      </c>
    </row>
    <row r="80" spans="1:22" x14ac:dyDescent="0.25">
      <c r="A80" s="473">
        <v>45954</v>
      </c>
      <c r="B80" t="s">
        <v>1747</v>
      </c>
    </row>
    <row r="81" spans="1:2" x14ac:dyDescent="0.25">
      <c r="A81" t="s">
        <v>1628</v>
      </c>
    </row>
    <row r="82" spans="1:2" x14ac:dyDescent="0.25">
      <c r="A82" s="473">
        <v>45958</v>
      </c>
      <c r="B82" t="s">
        <v>1752</v>
      </c>
    </row>
    <row r="83" spans="1:2" x14ac:dyDescent="0.25">
      <c r="A83" t="s">
        <v>1649</v>
      </c>
    </row>
    <row r="84" spans="1:2" x14ac:dyDescent="0.25">
      <c r="A84" s="473">
        <v>46027</v>
      </c>
      <c r="B84" t="s">
        <v>1762</v>
      </c>
    </row>
    <row r="85" spans="1:2" x14ac:dyDescent="0.25">
      <c r="B85" t="s">
        <v>1763</v>
      </c>
    </row>
    <row r="86" spans="1:2" x14ac:dyDescent="0.25">
      <c r="A86" s="473">
        <v>46041</v>
      </c>
      <c r="B86" t="s">
        <v>1764</v>
      </c>
    </row>
    <row r="87" spans="1:2" x14ac:dyDescent="0.25">
      <c r="A87" t="s">
        <v>1769</v>
      </c>
    </row>
    <row r="88" spans="1:2" x14ac:dyDescent="0.25">
      <c r="A88" s="23">
        <v>46087</v>
      </c>
      <c r="B88" t="s">
        <v>1765</v>
      </c>
    </row>
    <row r="89" spans="1:2" x14ac:dyDescent="0.25">
      <c r="A89" s="473">
        <v>46090</v>
      </c>
      <c r="B89" t="s">
        <v>1767</v>
      </c>
    </row>
    <row r="90" spans="1:2" x14ac:dyDescent="0.25">
      <c r="A90" t="s">
        <v>1424</v>
      </c>
    </row>
    <row r="91" spans="1:2" x14ac:dyDescent="0.25">
      <c r="B91" t="s">
        <v>1785</v>
      </c>
    </row>
    <row r="92" spans="1:2" x14ac:dyDescent="0.25">
      <c r="B92" t="s">
        <v>1786</v>
      </c>
    </row>
    <row r="93" spans="1:2" x14ac:dyDescent="0.25">
      <c r="B93" t="s">
        <v>1787</v>
      </c>
    </row>
    <row r="94" spans="1:2" x14ac:dyDescent="0.25">
      <c r="B94" t="s">
        <v>1788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BAB6-E25E-4294-849D-8AA28E61E2B9}">
  <sheetPr>
    <pageSetUpPr fitToPage="1"/>
  </sheetPr>
  <dimension ref="B1:AO60"/>
  <sheetViews>
    <sheetView zoomScale="130" zoomScaleNormal="130" workbookViewId="0">
      <selection activeCell="D30" sqref="D30:L30"/>
    </sheetView>
  </sheetViews>
  <sheetFormatPr defaultRowHeight="15" x14ac:dyDescent="0.25"/>
  <cols>
    <col min="1" max="1" width="0.85546875" customWidth="1"/>
    <col min="2" max="41" width="2.7109375" customWidth="1"/>
    <col min="42" max="42" width="0.85546875" customWidth="1"/>
  </cols>
  <sheetData>
    <row r="1" spans="2:41" ht="23.25"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1" ht="21" x14ac:dyDescent="0.35">
      <c r="B2" s="626" t="s">
        <v>1676</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1" ht="3.6" customHeight="1" thickBot="1" x14ac:dyDescent="0.3">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row>
    <row r="4" spans="2:41" ht="21.6" customHeight="1" x14ac:dyDescent="0.25">
      <c r="B4" s="574" t="s">
        <v>0</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6"/>
    </row>
    <row r="5" spans="2:41" ht="2.65" customHeight="1" x14ac:dyDescent="0.25">
      <c r="B5" s="627"/>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row>
    <row r="6" spans="2:41" s="2" customFormat="1" ht="21.6" customHeight="1" x14ac:dyDescent="0.25">
      <c r="B6" s="617" t="s">
        <v>1604</v>
      </c>
      <c r="C6" s="618"/>
      <c r="D6" s="618"/>
      <c r="E6" s="619"/>
      <c r="F6" s="619"/>
      <c r="G6" s="619"/>
      <c r="H6" s="619"/>
      <c r="I6" s="619"/>
      <c r="J6" s="619"/>
      <c r="K6" s="619"/>
      <c r="L6" s="619"/>
      <c r="M6" s="619"/>
      <c r="N6" s="619"/>
      <c r="O6" s="619"/>
      <c r="P6" s="619"/>
      <c r="Q6" s="619"/>
      <c r="R6" s="619"/>
      <c r="S6" s="619"/>
      <c r="T6" s="619"/>
      <c r="U6" s="620" t="s">
        <v>80</v>
      </c>
      <c r="V6" s="620"/>
      <c r="W6" s="620"/>
      <c r="X6" s="619"/>
      <c r="Y6" s="619"/>
      <c r="Z6" s="619"/>
      <c r="AA6" s="619"/>
      <c r="AB6" s="619"/>
      <c r="AC6" s="619"/>
      <c r="AD6" s="619"/>
      <c r="AE6" s="619"/>
      <c r="AF6" s="631" t="s">
        <v>1</v>
      </c>
      <c r="AG6" s="631"/>
      <c r="AH6" s="620" t="s">
        <v>81</v>
      </c>
      <c r="AI6" s="620"/>
      <c r="AJ6" s="620"/>
      <c r="AK6" s="621"/>
      <c r="AL6" s="621"/>
      <c r="AM6" s="621"/>
      <c r="AN6" s="621"/>
      <c r="AO6" s="622"/>
    </row>
    <row r="7" spans="2:41" s="2" customFormat="1" ht="2.65" customHeight="1" x14ac:dyDescent="0.25">
      <c r="B7" s="639"/>
      <c r="C7" s="640"/>
      <c r="D7" s="640"/>
      <c r="E7" s="640"/>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1"/>
    </row>
    <row r="8" spans="2:41" s="2" customFormat="1" ht="2.65" customHeight="1" x14ac:dyDescent="0.25">
      <c r="B8" s="630"/>
      <c r="C8" s="631"/>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2"/>
    </row>
    <row r="9" spans="2:41" s="2" customFormat="1" ht="21.6" customHeight="1" x14ac:dyDescent="0.25">
      <c r="B9" s="623" t="s">
        <v>1606</v>
      </c>
      <c r="C9" s="624"/>
      <c r="D9" s="624"/>
      <c r="E9" s="624"/>
      <c r="F9" s="184"/>
      <c r="G9" s="615" t="s">
        <v>3</v>
      </c>
      <c r="H9" s="615"/>
      <c r="I9" s="615"/>
      <c r="J9" s="184"/>
      <c r="K9" s="615" t="s">
        <v>2</v>
      </c>
      <c r="L9" s="615"/>
      <c r="M9" s="615"/>
      <c r="N9" s="615"/>
      <c r="O9" s="625" t="s">
        <v>158</v>
      </c>
      <c r="P9" s="625"/>
      <c r="Q9" s="625"/>
      <c r="R9" s="599"/>
      <c r="S9" s="599"/>
      <c r="T9" s="599"/>
      <c r="U9" s="599"/>
      <c r="V9" s="599"/>
      <c r="W9" s="599"/>
      <c r="X9" s="599"/>
      <c r="Y9" s="560" t="s">
        <v>156</v>
      </c>
      <c r="Z9" s="560"/>
      <c r="AA9" s="560"/>
      <c r="AB9" s="560"/>
      <c r="AC9" s="560"/>
      <c r="AD9" s="584"/>
      <c r="AE9" s="584"/>
      <c r="AF9" s="560" t="s">
        <v>1008</v>
      </c>
      <c r="AG9" s="560"/>
      <c r="AH9" s="560"/>
      <c r="AI9" s="599"/>
      <c r="AJ9" s="599"/>
      <c r="AK9" s="560" t="s">
        <v>157</v>
      </c>
      <c r="AL9" s="560"/>
      <c r="AM9" s="560"/>
      <c r="AN9" s="613"/>
      <c r="AO9" s="614"/>
    </row>
    <row r="10" spans="2:41" s="2" customFormat="1" ht="2.65" customHeight="1" x14ac:dyDescent="0.25">
      <c r="B10" s="642"/>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4"/>
    </row>
    <row r="11" spans="2:41" s="2" customFormat="1" ht="2.65" customHeight="1" x14ac:dyDescent="0.25">
      <c r="B11" s="647"/>
      <c r="C11" s="648"/>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648"/>
      <c r="AM11" s="648"/>
      <c r="AN11" s="648"/>
      <c r="AO11" s="649"/>
    </row>
    <row r="12" spans="2:41" s="2" customFormat="1" ht="21.6" customHeight="1" x14ac:dyDescent="0.25">
      <c r="B12" s="623" t="s">
        <v>1598</v>
      </c>
      <c r="C12" s="615"/>
      <c r="D12" s="615"/>
      <c r="E12" s="615"/>
      <c r="F12" s="615"/>
      <c r="G12" s="646"/>
      <c r="H12" s="646"/>
      <c r="I12" s="646"/>
      <c r="J12" s="646"/>
      <c r="K12" s="646"/>
      <c r="L12" s="494"/>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495"/>
    </row>
    <row r="13" spans="2:41" s="2" customFormat="1" ht="2.65" customHeight="1" x14ac:dyDescent="0.25">
      <c r="B13" s="642"/>
      <c r="C13" s="643"/>
      <c r="D13" s="643"/>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4"/>
    </row>
    <row r="14" spans="2:41" s="170" customFormat="1" ht="2.65" customHeight="1" x14ac:dyDescent="0.25">
      <c r="B14" s="633"/>
      <c r="C14" s="634"/>
      <c r="D14" s="634"/>
      <c r="E14" s="634"/>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5"/>
    </row>
    <row r="15" spans="2:41" s="21" customFormat="1" ht="21.6" customHeight="1" x14ac:dyDescent="0.25">
      <c r="B15" s="617" t="s">
        <v>1605</v>
      </c>
      <c r="C15" s="618"/>
      <c r="D15" s="618"/>
      <c r="E15" s="618"/>
      <c r="F15" s="564"/>
      <c r="G15" s="564"/>
      <c r="H15" s="620" t="s">
        <v>398</v>
      </c>
      <c r="I15" s="620"/>
      <c r="J15" s="620"/>
      <c r="K15" s="620"/>
      <c r="L15" s="620"/>
      <c r="M15" s="619"/>
      <c r="N15" s="619"/>
      <c r="O15" s="619"/>
      <c r="P15" s="619"/>
      <c r="Q15" s="619"/>
      <c r="R15" s="619"/>
      <c r="S15" s="496"/>
      <c r="T15" s="184"/>
      <c r="U15" s="615" t="s">
        <v>1657</v>
      </c>
      <c r="V15" s="615"/>
      <c r="W15" s="615"/>
      <c r="X15" s="615"/>
      <c r="Y15" s="615"/>
      <c r="Z15" s="615"/>
      <c r="AA15" s="615"/>
      <c r="AB15" s="615"/>
      <c r="AC15" s="615"/>
      <c r="AD15" s="615"/>
      <c r="AE15" s="615"/>
      <c r="AF15" s="615"/>
      <c r="AG15" s="615"/>
      <c r="AH15" s="615"/>
      <c r="AI15" s="615"/>
      <c r="AJ15" s="615"/>
      <c r="AK15" s="615"/>
      <c r="AL15" s="615"/>
      <c r="AM15" s="615"/>
      <c r="AN15" s="615"/>
      <c r="AO15" s="645"/>
    </row>
    <row r="16" spans="2:41" s="21" customFormat="1" ht="2.65" customHeight="1" thickBot="1" x14ac:dyDescent="0.3">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c r="AM16" s="637"/>
      <c r="AN16" s="637"/>
      <c r="AO16" s="638"/>
    </row>
    <row r="17" spans="2:41" ht="7.9" customHeight="1" thickBot="1" x14ac:dyDescent="0.3">
      <c r="B17" s="592"/>
      <c r="C17" s="592"/>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row>
    <row r="18" spans="2:41" ht="21.6" customHeight="1" x14ac:dyDescent="0.25">
      <c r="B18" s="574" t="s">
        <v>35</v>
      </c>
      <c r="C18" s="575"/>
      <c r="D18" s="575"/>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75"/>
      <c r="AF18" s="575"/>
      <c r="AG18" s="575"/>
      <c r="AH18" s="575"/>
      <c r="AI18" s="575"/>
      <c r="AJ18" s="575"/>
      <c r="AK18" s="575"/>
      <c r="AL18" s="575"/>
      <c r="AM18" s="575"/>
      <c r="AN18" s="575"/>
      <c r="AO18" s="576"/>
    </row>
    <row r="19" spans="2:41" ht="2.65" customHeight="1" x14ac:dyDescent="0.25">
      <c r="B19" s="627"/>
      <c r="C19" s="628"/>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9"/>
    </row>
    <row r="20" spans="2:41" ht="21.6" customHeight="1" x14ac:dyDescent="0.25">
      <c r="B20" s="581" t="s">
        <v>475</v>
      </c>
      <c r="C20" s="582"/>
      <c r="D20" s="582"/>
      <c r="E20" s="582"/>
      <c r="F20" s="582"/>
      <c r="G20" s="564"/>
      <c r="H20" s="564"/>
      <c r="I20" s="564"/>
      <c r="J20" s="564"/>
      <c r="K20" s="564"/>
      <c r="L20" s="564"/>
      <c r="M20" s="564"/>
      <c r="N20" s="564"/>
      <c r="O20" s="564"/>
      <c r="P20" s="564"/>
      <c r="Q20" s="582" t="s">
        <v>93</v>
      </c>
      <c r="R20" s="582"/>
      <c r="S20" s="582"/>
      <c r="T20" s="582"/>
      <c r="U20" s="564"/>
      <c r="V20" s="564"/>
      <c r="W20" s="564"/>
      <c r="X20" s="564"/>
      <c r="Y20" s="564"/>
      <c r="Z20" s="564"/>
      <c r="AA20" s="564"/>
      <c r="AB20" s="650" t="s">
        <v>82</v>
      </c>
      <c r="AC20" s="650"/>
      <c r="AD20" s="650"/>
      <c r="AE20" s="650"/>
      <c r="AF20" s="651"/>
      <c r="AG20" s="651"/>
      <c r="AH20" s="651"/>
      <c r="AI20" s="651"/>
      <c r="AJ20" s="651"/>
      <c r="AK20" s="651"/>
      <c r="AL20" s="651"/>
      <c r="AM20" s="651"/>
      <c r="AN20" s="651"/>
      <c r="AO20" s="652"/>
    </row>
    <row r="21" spans="2:41" ht="2.65" customHeight="1" x14ac:dyDescent="0.25">
      <c r="B21" s="653"/>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5"/>
    </row>
    <row r="22" spans="2:41" ht="2.65" customHeight="1" x14ac:dyDescent="0.25">
      <c r="B22" s="656"/>
      <c r="C22" s="657"/>
      <c r="D22" s="657"/>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8"/>
    </row>
    <row r="23" spans="2:41" ht="21.6" customHeight="1" x14ac:dyDescent="0.25">
      <c r="B23" s="581" t="s">
        <v>476</v>
      </c>
      <c r="C23" s="582"/>
      <c r="D23" s="582"/>
      <c r="E23" s="582"/>
      <c r="F23" s="582"/>
      <c r="G23" s="564"/>
      <c r="H23" s="564"/>
      <c r="I23" s="564"/>
      <c r="J23" s="564"/>
      <c r="K23" s="564"/>
      <c r="L23" s="564"/>
      <c r="M23" s="564"/>
      <c r="N23" s="564"/>
      <c r="O23" s="564"/>
      <c r="P23" s="564"/>
      <c r="Q23" s="582" t="s">
        <v>93</v>
      </c>
      <c r="R23" s="582"/>
      <c r="S23" s="582"/>
      <c r="T23" s="582"/>
      <c r="U23" s="564"/>
      <c r="V23" s="564"/>
      <c r="W23" s="564"/>
      <c r="X23" s="564"/>
      <c r="Y23" s="564"/>
      <c r="Z23" s="564"/>
      <c r="AA23" s="564"/>
      <c r="AB23" s="650" t="s">
        <v>82</v>
      </c>
      <c r="AC23" s="650"/>
      <c r="AD23" s="650"/>
      <c r="AE23" s="650"/>
      <c r="AF23" s="651"/>
      <c r="AG23" s="651"/>
      <c r="AH23" s="651"/>
      <c r="AI23" s="651"/>
      <c r="AJ23" s="651"/>
      <c r="AK23" s="651"/>
      <c r="AL23" s="651"/>
      <c r="AM23" s="651"/>
      <c r="AN23" s="651"/>
      <c r="AO23" s="652"/>
    </row>
    <row r="24" spans="2:41" ht="2.65" customHeight="1" thickBot="1" x14ac:dyDescent="0.3">
      <c r="B24" s="561"/>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3"/>
    </row>
    <row r="25" spans="2:41" ht="7.9" customHeight="1" thickBot="1" x14ac:dyDescent="0.3">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row>
    <row r="26" spans="2:41" ht="21.6" customHeight="1" x14ac:dyDescent="0.25">
      <c r="B26" s="574" t="s">
        <v>588</v>
      </c>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6"/>
    </row>
    <row r="27" spans="2:41" ht="21.6" customHeight="1" x14ac:dyDescent="0.25">
      <c r="B27" s="661" t="s">
        <v>187</v>
      </c>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3"/>
    </row>
    <row r="28" spans="2:41" ht="21.6" customHeight="1" x14ac:dyDescent="0.25">
      <c r="B28" s="664" t="s">
        <v>4</v>
      </c>
      <c r="C28" s="665"/>
      <c r="D28" s="665"/>
      <c r="E28" s="665"/>
      <c r="F28" s="665"/>
      <c r="G28" s="665"/>
      <c r="H28" s="665"/>
      <c r="I28" s="665"/>
      <c r="J28" s="665"/>
      <c r="K28" s="665"/>
      <c r="L28" s="665"/>
      <c r="M28" s="665"/>
      <c r="N28" s="665"/>
      <c r="O28" s="665"/>
      <c r="P28" s="665"/>
      <c r="Q28" s="665"/>
      <c r="R28" s="665"/>
      <c r="S28" s="665"/>
      <c r="T28" s="665"/>
      <c r="U28" s="666"/>
      <c r="V28" s="667" t="s">
        <v>5</v>
      </c>
      <c r="W28" s="667"/>
      <c r="X28" s="667"/>
      <c r="Y28" s="667"/>
      <c r="Z28" s="667"/>
      <c r="AA28" s="667"/>
      <c r="AB28" s="667"/>
      <c r="AC28" s="667"/>
      <c r="AD28" s="667"/>
      <c r="AE28" s="667"/>
      <c r="AF28" s="667"/>
      <c r="AG28" s="667"/>
      <c r="AH28" s="667"/>
      <c r="AI28" s="667"/>
      <c r="AJ28" s="667"/>
      <c r="AK28" s="667"/>
      <c r="AL28" s="667"/>
      <c r="AM28" s="667"/>
      <c r="AN28" s="667"/>
      <c r="AO28" s="668"/>
    </row>
    <row r="29" spans="2:41" ht="2.65" customHeight="1" x14ac:dyDescent="0.25">
      <c r="B29" s="172"/>
      <c r="C29" s="173"/>
      <c r="D29" s="173"/>
      <c r="E29" s="173"/>
      <c r="F29" s="173"/>
      <c r="G29" s="173"/>
      <c r="H29" s="173"/>
      <c r="I29" s="173"/>
      <c r="J29" s="173"/>
      <c r="K29" s="173"/>
      <c r="L29" s="173"/>
      <c r="M29" s="173"/>
      <c r="N29" s="173"/>
      <c r="O29" s="173"/>
      <c r="P29" s="173"/>
      <c r="Q29" s="173"/>
      <c r="R29" s="173"/>
      <c r="S29" s="173"/>
      <c r="T29" s="173"/>
      <c r="U29" s="177"/>
      <c r="V29" s="173"/>
      <c r="W29" s="173"/>
      <c r="X29" s="173"/>
      <c r="Y29" s="173"/>
      <c r="Z29" s="173"/>
      <c r="AA29" s="173"/>
      <c r="AB29" s="173"/>
      <c r="AC29" s="173"/>
      <c r="AD29" s="173"/>
      <c r="AE29" s="173"/>
      <c r="AF29" s="173"/>
      <c r="AG29" s="173"/>
      <c r="AH29" s="173"/>
      <c r="AI29" s="173"/>
      <c r="AJ29" s="173"/>
      <c r="AK29" s="173"/>
      <c r="AL29" s="173"/>
      <c r="AM29" s="173"/>
      <c r="AN29" s="173"/>
      <c r="AO29" s="174"/>
    </row>
    <row r="30" spans="2:41" ht="21.6" customHeight="1" x14ac:dyDescent="0.25">
      <c r="B30" s="669" t="s">
        <v>94</v>
      </c>
      <c r="C30" s="560"/>
      <c r="D30" s="564"/>
      <c r="E30" s="564"/>
      <c r="F30" s="564"/>
      <c r="G30" s="564"/>
      <c r="H30" s="564"/>
      <c r="I30" s="564"/>
      <c r="J30" s="564"/>
      <c r="K30" s="564"/>
      <c r="L30" s="564"/>
      <c r="M30" s="560" t="s">
        <v>419</v>
      </c>
      <c r="N30" s="560"/>
      <c r="O30" s="560"/>
      <c r="P30" s="560"/>
      <c r="Q30" s="560"/>
      <c r="R30" s="584"/>
      <c r="S30" s="584"/>
      <c r="T30" s="584"/>
      <c r="U30" s="672"/>
      <c r="V30" s="560" t="s">
        <v>94</v>
      </c>
      <c r="W30" s="560"/>
      <c r="X30" s="564"/>
      <c r="Y30" s="564"/>
      <c r="Z30" s="564"/>
      <c r="AA30" s="564"/>
      <c r="AB30" s="564"/>
      <c r="AC30" s="564"/>
      <c r="AD30" s="564"/>
      <c r="AE30" s="564"/>
      <c r="AF30" s="583" t="s">
        <v>95</v>
      </c>
      <c r="AG30" s="583"/>
      <c r="AH30" s="583"/>
      <c r="AI30" s="583"/>
      <c r="AJ30" s="583"/>
      <c r="AK30" s="583"/>
      <c r="AL30" s="584"/>
      <c r="AM30" s="584"/>
      <c r="AN30" s="584"/>
      <c r="AO30" s="585"/>
    </row>
    <row r="31" spans="2:41" ht="2.65" customHeight="1" x14ac:dyDescent="0.25">
      <c r="B31" s="565"/>
      <c r="C31" s="566"/>
      <c r="D31" s="566"/>
      <c r="E31" s="566"/>
      <c r="F31" s="566"/>
      <c r="G31" s="566"/>
      <c r="H31" s="566"/>
      <c r="I31" s="566"/>
      <c r="J31" s="566"/>
      <c r="K31" s="566"/>
      <c r="L31" s="566"/>
      <c r="M31" s="566"/>
      <c r="N31" s="566"/>
      <c r="O31" s="566"/>
      <c r="P31" s="566"/>
      <c r="Q31" s="566"/>
      <c r="R31" s="566"/>
      <c r="S31" s="566"/>
      <c r="T31" s="566"/>
      <c r="U31" s="660"/>
      <c r="V31" s="566"/>
      <c r="W31" s="566"/>
      <c r="X31" s="566"/>
      <c r="Y31" s="566"/>
      <c r="Z31" s="566"/>
      <c r="AA31" s="566"/>
      <c r="AB31" s="566"/>
      <c r="AC31" s="566"/>
      <c r="AD31" s="566"/>
      <c r="AE31" s="566"/>
      <c r="AF31" s="566"/>
      <c r="AG31" s="566"/>
      <c r="AH31" s="566"/>
      <c r="AI31" s="566"/>
      <c r="AJ31" s="566"/>
      <c r="AK31" s="566"/>
      <c r="AL31" s="566"/>
      <c r="AM31" s="566"/>
      <c r="AN31" s="566"/>
      <c r="AO31" s="567"/>
    </row>
    <row r="32" spans="2:41" ht="2.65" customHeight="1" x14ac:dyDescent="0.25">
      <c r="B32" s="578"/>
      <c r="C32" s="579"/>
      <c r="D32" s="579"/>
      <c r="E32" s="579"/>
      <c r="F32" s="579"/>
      <c r="G32" s="579"/>
      <c r="H32" s="579"/>
      <c r="I32" s="579"/>
      <c r="J32" s="579"/>
      <c r="K32" s="579"/>
      <c r="L32" s="579"/>
      <c r="M32" s="579"/>
      <c r="N32" s="579"/>
      <c r="O32" s="579"/>
      <c r="P32" s="579"/>
      <c r="Q32" s="579"/>
      <c r="R32" s="579"/>
      <c r="S32" s="579"/>
      <c r="T32" s="579"/>
      <c r="U32" s="601"/>
      <c r="V32" s="579"/>
      <c r="W32" s="579"/>
      <c r="X32" s="579"/>
      <c r="Y32" s="579"/>
      <c r="Z32" s="579"/>
      <c r="AA32" s="579"/>
      <c r="AB32" s="579"/>
      <c r="AC32" s="579"/>
      <c r="AD32" s="579"/>
      <c r="AE32" s="579"/>
      <c r="AF32" s="579"/>
      <c r="AG32" s="579"/>
      <c r="AH32" s="579"/>
      <c r="AI32" s="579"/>
      <c r="AJ32" s="579"/>
      <c r="AK32" s="579"/>
      <c r="AL32" s="579"/>
      <c r="AM32" s="579"/>
      <c r="AN32" s="579"/>
      <c r="AO32" s="580"/>
    </row>
    <row r="33" spans="2:41" ht="21.6" customHeight="1" x14ac:dyDescent="0.25">
      <c r="B33" s="673" t="s">
        <v>96</v>
      </c>
      <c r="C33" s="583"/>
      <c r="D33" s="583"/>
      <c r="E33" s="583"/>
      <c r="F33" s="599"/>
      <c r="G33" s="599"/>
      <c r="H33" s="599"/>
      <c r="I33" s="599"/>
      <c r="J33" s="599"/>
      <c r="K33" s="599"/>
      <c r="L33" s="560" t="s">
        <v>97</v>
      </c>
      <c r="M33" s="560"/>
      <c r="N33" s="560"/>
      <c r="O33" s="599"/>
      <c r="P33" s="599"/>
      <c r="Q33" s="599"/>
      <c r="R33" s="599"/>
      <c r="S33" s="599"/>
      <c r="T33" s="599"/>
      <c r="U33" s="671"/>
      <c r="V33" s="583" t="s">
        <v>96</v>
      </c>
      <c r="W33" s="583"/>
      <c r="X33" s="583"/>
      <c r="Y33" s="583"/>
      <c r="Z33" s="599"/>
      <c r="AA33" s="599"/>
      <c r="AB33" s="599"/>
      <c r="AC33" s="599"/>
      <c r="AD33" s="599"/>
      <c r="AE33" s="599"/>
      <c r="AF33" s="560" t="s">
        <v>97</v>
      </c>
      <c r="AG33" s="560"/>
      <c r="AH33" s="560"/>
      <c r="AI33" s="599"/>
      <c r="AJ33" s="599"/>
      <c r="AK33" s="599"/>
      <c r="AL33" s="599"/>
      <c r="AM33" s="599"/>
      <c r="AN33" s="599"/>
      <c r="AO33" s="670"/>
    </row>
    <row r="34" spans="2:41" ht="2.65" customHeight="1" x14ac:dyDescent="0.25">
      <c r="B34" s="604"/>
      <c r="C34" s="602"/>
      <c r="D34" s="602"/>
      <c r="E34" s="602"/>
      <c r="F34" s="602"/>
      <c r="G34" s="602"/>
      <c r="H34" s="602"/>
      <c r="I34" s="602"/>
      <c r="J34" s="602"/>
      <c r="K34" s="602"/>
      <c r="L34" s="602"/>
      <c r="M34" s="602"/>
      <c r="N34" s="602"/>
      <c r="O34" s="602"/>
      <c r="P34" s="602"/>
      <c r="Q34" s="602"/>
      <c r="R34" s="602"/>
      <c r="S34" s="602"/>
      <c r="T34" s="602"/>
      <c r="U34" s="605"/>
      <c r="V34" s="602"/>
      <c r="W34" s="602"/>
      <c r="X34" s="602"/>
      <c r="Y34" s="602"/>
      <c r="Z34" s="602"/>
      <c r="AA34" s="602"/>
      <c r="AB34" s="602"/>
      <c r="AC34" s="602"/>
      <c r="AD34" s="602"/>
      <c r="AE34" s="602"/>
      <c r="AF34" s="602"/>
      <c r="AG34" s="602"/>
      <c r="AH34" s="602"/>
      <c r="AI34" s="602"/>
      <c r="AJ34" s="602"/>
      <c r="AK34" s="602"/>
      <c r="AL34" s="602"/>
      <c r="AM34" s="602"/>
      <c r="AN34" s="602"/>
      <c r="AO34" s="603"/>
    </row>
    <row r="35" spans="2:41" ht="2.65" customHeight="1" x14ac:dyDescent="0.25">
      <c r="B35" s="608"/>
      <c r="C35" s="606"/>
      <c r="D35" s="606"/>
      <c r="E35" s="606"/>
      <c r="F35" s="606"/>
      <c r="G35" s="606"/>
      <c r="H35" s="606"/>
      <c r="I35" s="606"/>
      <c r="J35" s="606"/>
      <c r="K35" s="606"/>
      <c r="L35" s="606"/>
      <c r="M35" s="606"/>
      <c r="N35" s="606"/>
      <c r="O35" s="606"/>
      <c r="P35" s="606"/>
      <c r="Q35" s="606"/>
      <c r="R35" s="606"/>
      <c r="S35" s="606"/>
      <c r="T35" s="606"/>
      <c r="U35" s="609"/>
      <c r="V35" s="606"/>
      <c r="W35" s="606"/>
      <c r="X35" s="606"/>
      <c r="Y35" s="606"/>
      <c r="Z35" s="606"/>
      <c r="AA35" s="606"/>
      <c r="AB35" s="606"/>
      <c r="AC35" s="606"/>
      <c r="AD35" s="606"/>
      <c r="AE35" s="606"/>
      <c r="AF35" s="606"/>
      <c r="AG35" s="606"/>
      <c r="AH35" s="606"/>
      <c r="AI35" s="606"/>
      <c r="AJ35" s="606"/>
      <c r="AK35" s="606"/>
      <c r="AL35" s="606"/>
      <c r="AM35" s="606"/>
      <c r="AN35" s="606"/>
      <c r="AO35" s="607"/>
    </row>
    <row r="36" spans="2:41" ht="21.6" customHeight="1" x14ac:dyDescent="0.25">
      <c r="B36" s="669" t="s">
        <v>98</v>
      </c>
      <c r="C36" s="560"/>
      <c r="D36" s="560"/>
      <c r="E36" s="560"/>
      <c r="F36" s="599"/>
      <c r="G36" s="599"/>
      <c r="H36" s="560" t="s">
        <v>99</v>
      </c>
      <c r="I36" s="560"/>
      <c r="J36" s="560"/>
      <c r="K36" s="560"/>
      <c r="L36" s="560"/>
      <c r="M36" s="599"/>
      <c r="N36" s="599"/>
      <c r="O36" s="583" t="s">
        <v>100</v>
      </c>
      <c r="P36" s="583"/>
      <c r="Q36" s="583"/>
      <c r="R36" s="583"/>
      <c r="S36" s="583"/>
      <c r="T36" s="593" t="str">
        <f>IF(D30=Lists!A8,IF(ISBLANK(F36),M36,IF(2026-F36&lt;30,M36*(1-0.01)^(2026-F36),M36*(1-0.01)^30)),"")</f>
        <v/>
      </c>
      <c r="U36" s="594"/>
      <c r="V36" s="560" t="s">
        <v>98</v>
      </c>
      <c r="W36" s="560"/>
      <c r="X36" s="560"/>
      <c r="Y36" s="560"/>
      <c r="Z36" s="560"/>
      <c r="AA36" s="560"/>
      <c r="AB36" s="599"/>
      <c r="AC36" s="599"/>
      <c r="AD36" s="600"/>
      <c r="AE36" s="600"/>
      <c r="AF36" s="600"/>
      <c r="AG36" s="600"/>
      <c r="AH36" s="600"/>
      <c r="AI36" s="583" t="s">
        <v>101</v>
      </c>
      <c r="AJ36" s="583"/>
      <c r="AK36" s="583"/>
      <c r="AL36" s="583"/>
      <c r="AM36" s="583"/>
      <c r="AN36" s="610"/>
      <c r="AO36" s="611"/>
    </row>
    <row r="37" spans="2:41" ht="2.65" customHeight="1" x14ac:dyDescent="0.25">
      <c r="B37" s="565"/>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c r="AO37" s="567"/>
    </row>
    <row r="38" spans="2:41" ht="2.65" customHeight="1" x14ac:dyDescent="0.25">
      <c r="B38" s="578"/>
      <c r="C38" s="579"/>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c r="AO38" s="580"/>
    </row>
    <row r="39" spans="2:41" ht="21.6" customHeight="1" x14ac:dyDescent="0.25">
      <c r="B39" s="558" t="s">
        <v>442</v>
      </c>
      <c r="C39" s="559"/>
      <c r="D39" s="559"/>
      <c r="E39" s="559"/>
      <c r="F39" s="559"/>
      <c r="G39" s="559"/>
      <c r="H39" s="559"/>
      <c r="I39" s="559"/>
      <c r="J39" s="559"/>
      <c r="K39" s="560" t="s">
        <v>192</v>
      </c>
      <c r="L39" s="560"/>
      <c r="M39" s="560"/>
      <c r="N39" s="577"/>
      <c r="O39" s="577"/>
      <c r="P39" s="577"/>
      <c r="Q39" s="577"/>
      <c r="R39" s="577"/>
      <c r="S39" s="577"/>
      <c r="T39" s="176"/>
      <c r="U39" s="176"/>
      <c r="V39" s="171"/>
      <c r="W39" s="171"/>
      <c r="X39" s="171"/>
      <c r="Y39" s="171"/>
      <c r="Z39" s="171"/>
      <c r="AA39" s="171"/>
      <c r="AB39" s="171"/>
      <c r="AC39" s="171"/>
      <c r="AD39" s="171"/>
      <c r="AE39" s="171"/>
      <c r="AF39" s="171"/>
      <c r="AG39" s="171"/>
      <c r="AH39" s="171"/>
      <c r="AI39" s="171"/>
      <c r="AJ39" s="171"/>
      <c r="AK39" s="171"/>
      <c r="AL39" s="171"/>
      <c r="AM39" s="171"/>
      <c r="AN39" s="171"/>
      <c r="AO39" s="175"/>
    </row>
    <row r="40" spans="2:41" ht="2.65" customHeight="1" x14ac:dyDescent="0.25">
      <c r="B40" s="565"/>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7"/>
    </row>
    <row r="41" spans="2:41" ht="2.65" customHeight="1" x14ac:dyDescent="0.25">
      <c r="B41" s="578"/>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80"/>
    </row>
    <row r="42" spans="2:41" ht="21.6" customHeight="1" x14ac:dyDescent="0.25">
      <c r="B42" s="558" t="s">
        <v>443</v>
      </c>
      <c r="C42" s="559"/>
      <c r="D42" s="559"/>
      <c r="E42" s="559"/>
      <c r="F42" s="559"/>
      <c r="G42" s="559"/>
      <c r="H42" s="559"/>
      <c r="I42" s="559"/>
      <c r="J42" s="559"/>
      <c r="K42" s="583" t="s">
        <v>102</v>
      </c>
      <c r="L42" s="583"/>
      <c r="M42" s="583"/>
      <c r="N42" s="564"/>
      <c r="O42" s="564"/>
      <c r="P42" s="564"/>
      <c r="Q42" s="564"/>
      <c r="R42" s="583" t="s">
        <v>192</v>
      </c>
      <c r="S42" s="583"/>
      <c r="T42" s="599"/>
      <c r="U42" s="599"/>
      <c r="V42" s="599"/>
      <c r="W42" s="599"/>
      <c r="X42" s="599"/>
      <c r="Y42" s="599"/>
      <c r="Z42" s="599"/>
      <c r="AA42" s="599"/>
      <c r="AB42" s="659" t="s">
        <v>103</v>
      </c>
      <c r="AC42" s="659"/>
      <c r="AD42" s="659"/>
      <c r="AE42" s="659"/>
      <c r="AF42" s="564"/>
      <c r="AG42" s="564"/>
      <c r="AH42" s="564"/>
      <c r="AI42" s="564"/>
      <c r="AJ42" s="564"/>
      <c r="AK42" s="564"/>
      <c r="AL42" s="564"/>
      <c r="AM42" s="564"/>
      <c r="AN42" s="564"/>
      <c r="AO42" s="186"/>
    </row>
    <row r="43" spans="2:41" ht="2.65" customHeight="1" thickBot="1" x14ac:dyDescent="0.3">
      <c r="B43" s="595"/>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7"/>
    </row>
    <row r="44" spans="2:41" ht="7.9" customHeight="1" thickBot="1" x14ac:dyDescent="0.3">
      <c r="B44" s="592"/>
      <c r="C44" s="592"/>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row>
    <row r="45" spans="2:41" ht="21.6" customHeight="1" x14ac:dyDescent="0.25">
      <c r="B45" s="589" t="s">
        <v>189</v>
      </c>
      <c r="C45" s="590"/>
      <c r="D45" s="590"/>
      <c r="E45" s="590"/>
      <c r="F45" s="590"/>
      <c r="G45" s="590"/>
      <c r="H45" s="590"/>
      <c r="I45" s="590"/>
      <c r="J45" s="590"/>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90"/>
      <c r="AL45" s="590"/>
      <c r="AM45" s="590"/>
      <c r="AN45" s="590"/>
      <c r="AO45" s="591"/>
    </row>
    <row r="46" spans="2:41" ht="21.6" customHeight="1" x14ac:dyDescent="0.25">
      <c r="B46" s="586" t="s">
        <v>188</v>
      </c>
      <c r="C46" s="587"/>
      <c r="D46" s="587"/>
      <c r="E46" s="587"/>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8"/>
    </row>
    <row r="47" spans="2:41" ht="21.6" customHeight="1" x14ac:dyDescent="0.25">
      <c r="B47" s="568"/>
      <c r="C47" s="56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70"/>
    </row>
    <row r="48" spans="2:41" ht="21.6" customHeight="1" x14ac:dyDescent="0.25">
      <c r="B48" s="568"/>
      <c r="C48" s="569"/>
      <c r="D48" s="569"/>
      <c r="E48" s="569"/>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70"/>
    </row>
    <row r="49" spans="2:41" ht="21.6" customHeight="1" x14ac:dyDescent="0.25">
      <c r="B49" s="568"/>
      <c r="C49" s="569"/>
      <c r="D49" s="569"/>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70"/>
    </row>
    <row r="50" spans="2:41" ht="21.6" customHeight="1" x14ac:dyDescent="0.25">
      <c r="B50" s="568"/>
      <c r="C50" s="569"/>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c r="AE50" s="569"/>
      <c r="AF50" s="569"/>
      <c r="AG50" s="569"/>
      <c r="AH50" s="569"/>
      <c r="AI50" s="569"/>
      <c r="AJ50" s="569"/>
      <c r="AK50" s="569"/>
      <c r="AL50" s="569"/>
      <c r="AM50" s="569"/>
      <c r="AN50" s="569"/>
      <c r="AO50" s="570"/>
    </row>
    <row r="51" spans="2:41" ht="21.6" customHeight="1" x14ac:dyDescent="0.25">
      <c r="B51" s="568"/>
      <c r="C51" s="569"/>
      <c r="D51" s="569"/>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70"/>
    </row>
    <row r="52" spans="2:41" ht="21.6" customHeight="1" x14ac:dyDescent="0.25">
      <c r="B52" s="568"/>
      <c r="C52" s="569"/>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569"/>
      <c r="AK52" s="569"/>
      <c r="AL52" s="569"/>
      <c r="AM52" s="569"/>
      <c r="AN52" s="569"/>
      <c r="AO52" s="570"/>
    </row>
    <row r="53" spans="2:41" x14ac:dyDescent="0.25">
      <c r="B53" s="568"/>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70"/>
    </row>
    <row r="54" spans="2:41" x14ac:dyDescent="0.25">
      <c r="B54" s="568"/>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M54" s="569"/>
      <c r="AN54" s="569"/>
      <c r="AO54" s="570"/>
    </row>
    <row r="55" spans="2:41" x14ac:dyDescent="0.25">
      <c r="B55" s="568"/>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70"/>
    </row>
    <row r="56" spans="2:41" x14ac:dyDescent="0.25">
      <c r="B56" s="568"/>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70"/>
    </row>
    <row r="57" spans="2:41" x14ac:dyDescent="0.25">
      <c r="B57" s="568"/>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70"/>
    </row>
    <row r="58" spans="2:41" x14ac:dyDescent="0.25">
      <c r="B58" s="568"/>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70"/>
    </row>
    <row r="59" spans="2:41" x14ac:dyDescent="0.25">
      <c r="B59" s="568"/>
      <c r="C59" s="569"/>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70"/>
    </row>
    <row r="60" spans="2:41" ht="15.75" thickBot="1" x14ac:dyDescent="0.3">
      <c r="B60" s="571"/>
      <c r="C60" s="572"/>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572"/>
      <c r="AL60" s="572"/>
      <c r="AM60" s="572"/>
      <c r="AN60" s="572"/>
      <c r="AO60" s="573"/>
    </row>
  </sheetData>
  <sheetProtection algorithmName="SHA-512" hashValue="rm7jBQebK/f8HhBdzecRVjX6db/Pa6XXEGvnJJWdEUAbIUbwGCjloDELcdqexmX2T4O4e3K6DnamC/vstqX28A==" saltValue="rDh9iyMr+3uwYZe7dayIyA==" spinCount="100000" sheet="1" selectLockedCells="1"/>
  <mergeCells count="115">
    <mergeCell ref="AI33:AO33"/>
    <mergeCell ref="O33:U33"/>
    <mergeCell ref="R30:U30"/>
    <mergeCell ref="V30:W30"/>
    <mergeCell ref="B42:J42"/>
    <mergeCell ref="K42:M42"/>
    <mergeCell ref="B33:E33"/>
    <mergeCell ref="V36:AA36"/>
    <mergeCell ref="B36:E36"/>
    <mergeCell ref="F36:G36"/>
    <mergeCell ref="H36:L36"/>
    <mergeCell ref="M36:N36"/>
    <mergeCell ref="O36:S36"/>
    <mergeCell ref="Q20:T20"/>
    <mergeCell ref="Q23:T23"/>
    <mergeCell ref="U23:AA23"/>
    <mergeCell ref="U20:AA20"/>
    <mergeCell ref="B18:AO18"/>
    <mergeCell ref="AB20:AE20"/>
    <mergeCell ref="AF20:AO20"/>
    <mergeCell ref="B19:AO19"/>
    <mergeCell ref="B15:E15"/>
    <mergeCell ref="F15:G15"/>
    <mergeCell ref="B17:AO17"/>
    <mergeCell ref="H15:L15"/>
    <mergeCell ref="B20:F20"/>
    <mergeCell ref="G20:P20"/>
    <mergeCell ref="AF23:AO23"/>
    <mergeCell ref="AB23:AE23"/>
    <mergeCell ref="G23:P23"/>
    <mergeCell ref="B21:AO21"/>
    <mergeCell ref="B22:AO22"/>
    <mergeCell ref="B14:AO14"/>
    <mergeCell ref="B16:AO16"/>
    <mergeCell ref="B7:AO7"/>
    <mergeCell ref="B10:AO10"/>
    <mergeCell ref="X6:AE6"/>
    <mergeCell ref="AF6:AG6"/>
    <mergeCell ref="U15:AO15"/>
    <mergeCell ref="M15:R15"/>
    <mergeCell ref="B13:AO13"/>
    <mergeCell ref="B12:F12"/>
    <mergeCell ref="G12:K12"/>
    <mergeCell ref="M12:AN12"/>
    <mergeCell ref="B11:AO11"/>
    <mergeCell ref="B1:AO1"/>
    <mergeCell ref="AN9:AO9"/>
    <mergeCell ref="AK9:AM9"/>
    <mergeCell ref="AI9:AJ9"/>
    <mergeCell ref="AF9:AH9"/>
    <mergeCell ref="AD9:AE9"/>
    <mergeCell ref="Y9:AC9"/>
    <mergeCell ref="K9:N9"/>
    <mergeCell ref="G9:I9"/>
    <mergeCell ref="B3:AO3"/>
    <mergeCell ref="B6:D6"/>
    <mergeCell ref="E6:T6"/>
    <mergeCell ref="U6:W6"/>
    <mergeCell ref="AH6:AJ6"/>
    <mergeCell ref="R9:X9"/>
    <mergeCell ref="AK6:AO6"/>
    <mergeCell ref="B9:E9"/>
    <mergeCell ref="O9:Q9"/>
    <mergeCell ref="B2:AO2"/>
    <mergeCell ref="B4:AO4"/>
    <mergeCell ref="B5:AO5"/>
    <mergeCell ref="B8:AO8"/>
    <mergeCell ref="B23:F23"/>
    <mergeCell ref="AF30:AK30"/>
    <mergeCell ref="AL30:AO30"/>
    <mergeCell ref="B46:AO46"/>
    <mergeCell ref="B45:AO45"/>
    <mergeCell ref="B44:AO44"/>
    <mergeCell ref="T36:U36"/>
    <mergeCell ref="B43:AO43"/>
    <mergeCell ref="B41:AO41"/>
    <mergeCell ref="R42:S42"/>
    <mergeCell ref="N42:Q42"/>
    <mergeCell ref="B25:AO25"/>
    <mergeCell ref="X30:AE30"/>
    <mergeCell ref="AB36:AC36"/>
    <mergeCell ref="AD36:AH36"/>
    <mergeCell ref="AI36:AM36"/>
    <mergeCell ref="V33:Y33"/>
    <mergeCell ref="Z33:AE33"/>
    <mergeCell ref="V32:AO32"/>
    <mergeCell ref="B32:U32"/>
    <mergeCell ref="V34:AO34"/>
    <mergeCell ref="B34:U34"/>
    <mergeCell ref="V35:AO35"/>
    <mergeCell ref="B35:U35"/>
    <mergeCell ref="B39:J39"/>
    <mergeCell ref="K39:M39"/>
    <mergeCell ref="B24:AO24"/>
    <mergeCell ref="AF33:AH33"/>
    <mergeCell ref="M30:Q30"/>
    <mergeCell ref="D30:L30"/>
    <mergeCell ref="B37:AO37"/>
    <mergeCell ref="AF42:AN42"/>
    <mergeCell ref="B47:AO60"/>
    <mergeCell ref="B26:AO26"/>
    <mergeCell ref="N39:S39"/>
    <mergeCell ref="B38:AO38"/>
    <mergeCell ref="AN36:AO36"/>
    <mergeCell ref="AB42:AE42"/>
    <mergeCell ref="T42:AA42"/>
    <mergeCell ref="B40:AO40"/>
    <mergeCell ref="V31:AO31"/>
    <mergeCell ref="B31:U31"/>
    <mergeCell ref="B27:AO27"/>
    <mergeCell ref="B28:U28"/>
    <mergeCell ref="V28:AO28"/>
    <mergeCell ref="B30:C30"/>
    <mergeCell ref="L33:N33"/>
    <mergeCell ref="F33:K33"/>
  </mergeCells>
  <conditionalFormatting sqref="E6:T6 X6:AE6 AK6:AO6 F9 J9 R9:X9 AD9:AE9 AI9:AJ9 AN9:AO9 F15:G15 T15 AF20:AO20 AF23:AO23 D30 R30:U30 X30:AE30 AL30:AO30 F33:K33 O33:U33 Z33:AE33 AI33:AO33 F36:G36 M36:N36 AN36:AO36">
    <cfRule type="containsBlanks" dxfId="109" priority="5">
      <formula>LEN(TRIM(D6))=0</formula>
    </cfRule>
  </conditionalFormatting>
  <conditionalFormatting sqref="G20 U20 G23 U23 AF42">
    <cfRule type="containsBlanks" dxfId="108" priority="13">
      <formula>LEN(TRIM(G20))=0</formula>
    </cfRule>
  </conditionalFormatting>
  <conditionalFormatting sqref="G12:K12 M12:AN12">
    <cfRule type="containsBlanks" dxfId="107" priority="1">
      <formula>LEN(TRIM(G12))=0</formula>
    </cfRule>
  </conditionalFormatting>
  <conditionalFormatting sqref="M15">
    <cfRule type="containsBlanks" dxfId="106" priority="4">
      <formula>LEN(TRIM(M15))=0</formula>
    </cfRule>
  </conditionalFormatting>
  <conditionalFormatting sqref="N39:S39 N42:Q42 T42">
    <cfRule type="containsBlanks" dxfId="105" priority="2">
      <formula>LEN(TRIM(N39))=0</formula>
    </cfRule>
  </conditionalFormatting>
  <conditionalFormatting sqref="AB36:AC36">
    <cfRule type="containsBlanks" dxfId="104" priority="3">
      <formula>LEN(TRIM(AB36))=0</formula>
    </cfRule>
  </conditionalFormatting>
  <dataValidations count="1">
    <dataValidation showInputMessage="1" showErrorMessage="1" sqref="AT9" xr:uid="{94A86DF4-4739-42D8-BCDE-8B3251C0DED6}"/>
  </dataValidations>
  <pageMargins left="0.25" right="0.25" top="0.75" bottom="0.75" header="0.3" footer="0.3"/>
  <pageSetup scale="92"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B9CB4265-A2C4-4BB8-9E7F-959D3DF50483}">
          <x14:formula1>
            <xm:f>Lists!$T$1:$T$4</xm:f>
          </x14:formula1>
          <xm:sqref>F15:G15</xm:sqref>
        </x14:dataValidation>
        <x14:dataValidation type="list" allowBlank="1" showInputMessage="1" showErrorMessage="1" xr:uid="{A99EC74C-EAB7-45F1-8900-A82EE2329F3E}">
          <x14:formula1>
            <xm:f>Lists!$G$1:$G$8</xm:f>
          </x14:formula1>
          <xm:sqref>R9:X9</xm:sqref>
        </x14:dataValidation>
        <x14:dataValidation type="list" allowBlank="1" showInputMessage="1" showErrorMessage="1" xr:uid="{19296B8F-45D0-4DBD-AC0C-4A20562D70CE}">
          <x14:formula1>
            <xm:f>Lists!$J$1:$J$5</xm:f>
          </x14:formula1>
          <xm:sqref>N39:S39</xm:sqref>
        </x14:dataValidation>
        <x14:dataValidation type="list" allowBlank="1" showInputMessage="1" showErrorMessage="1" xr:uid="{656841B9-10BC-41FC-81C9-29A747601A0F}">
          <x14:formula1>
            <xm:f>Lists!$D$23:$D$30</xm:f>
          </x14:formula1>
          <xm:sqref>T42</xm:sqref>
        </x14:dataValidation>
        <x14:dataValidation type="list" allowBlank="1" showInputMessage="1" showErrorMessage="1" xr:uid="{CEE3336A-AAD1-4563-82CA-95A4E5BFA436}">
          <x14:formula1>
            <xm:f>Lists!$D$8:$D$13</xm:f>
          </x14:formula1>
          <xm:sqref>AF42</xm:sqref>
        </x14:dataValidation>
        <x14:dataValidation type="list" allowBlank="1" showInputMessage="1" showErrorMessage="1" xr:uid="{08E18D18-7EF5-4156-A9B7-BBE8EC29366C}">
          <x14:formula1>
            <xm:f>Lists!$D$1:$D$6</xm:f>
          </x14:formula1>
          <xm:sqref>N42:Q42</xm:sqref>
        </x14:dataValidation>
        <x14:dataValidation type="list" allowBlank="1" showInputMessage="1" showErrorMessage="1" xr:uid="{EE7F580F-CE52-403A-AD97-8D5B408AD202}">
          <x14:formula1>
            <xm:f>Lists!$L$1:$L$2</xm:f>
          </x14:formula1>
          <xm:sqref>T15 J9</xm:sqref>
        </x14:dataValidation>
        <x14:dataValidation type="list" allowBlank="1" showInputMessage="1" showErrorMessage="1" xr:uid="{84BBB62D-D863-4989-A51D-3C6185B9C0C7}">
          <x14:formula1>
            <xm:f>Lists!$A$1:$A$5</xm:f>
          </x14:formula1>
          <xm:sqref>X30:AE30</xm:sqref>
        </x14:dataValidation>
        <x14:dataValidation type="list" showInputMessage="1" showErrorMessage="1" xr:uid="{AA1F42DE-B94D-4AC7-A0A3-314F651ECF76}">
          <x14:formula1>
            <xm:f>Lists!$L$1:$L$2</xm:f>
          </x14:formula1>
          <xm:sqref>F9</xm:sqref>
        </x14:dataValidation>
        <x14:dataValidation type="list" allowBlank="1" showInputMessage="1" showErrorMessage="1" xr:uid="{F6677669-61FE-40D5-A8A2-76C4D0CA9779}">
          <x14:formula1>
            <xm:f>Lists!$T$13:$T$18</xm:f>
          </x14:formula1>
          <xm:sqref>AI9:AJ9</xm:sqref>
        </x14:dataValidation>
        <x14:dataValidation type="list" allowBlank="1" showInputMessage="1" showErrorMessage="1" xr:uid="{5FD459E9-607C-4781-B91B-E86CBE122FD2}">
          <x14:formula1>
            <xm:f>Lists!$S$35:$S$37</xm:f>
          </x14:formula1>
          <xm:sqref>G12:K12</xm:sqref>
        </x14:dataValidation>
        <x14:dataValidation type="list" allowBlank="1" showInputMessage="1" showErrorMessage="1" xr:uid="{808BF66D-5B2A-4297-9AE3-A68F394D6745}">
          <x14:formula1>
            <xm:f>Lists!$S$38:$S$41</xm:f>
          </x14:formula1>
          <xm:sqref>M12:AN12</xm:sqref>
        </x14:dataValidation>
        <x14:dataValidation type="list" allowBlank="1" showInputMessage="1" showErrorMessage="1" xr:uid="{9BB9504C-FABA-429D-9F90-ACF6EC39E5F0}">
          <x14:formula1>
            <xm:f>Lists!$A$7:$A$16</xm:f>
          </x14:formula1>
          <xm:sqref>D30:L30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9CC2-9BA5-412E-A17C-3322EE2FF8FA}">
  <sheetPr>
    <pageSetUpPr fitToPage="1"/>
  </sheetPr>
  <dimension ref="B1:AT119"/>
  <sheetViews>
    <sheetView zoomScale="130" zoomScaleNormal="130" workbookViewId="0">
      <selection activeCell="B10" sqref="B10:C11"/>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3" ht="21" x14ac:dyDescent="0.35">
      <c r="B2" s="626" t="s">
        <v>1676</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3" ht="35.450000000000003" customHeight="1" x14ac:dyDescent="0.25">
      <c r="B3" s="753" t="s">
        <v>397</v>
      </c>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row>
    <row r="4" spans="2:43" x14ac:dyDescent="0.25">
      <c r="B4" s="754" t="s">
        <v>161</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5" t="s">
        <v>52</v>
      </c>
      <c r="AF4" s="755"/>
      <c r="AG4" s="755"/>
      <c r="AH4" s="755"/>
      <c r="AI4" s="755"/>
      <c r="AJ4" s="755"/>
      <c r="AK4" s="755"/>
      <c r="AL4" s="755"/>
      <c r="AM4" s="755"/>
      <c r="AN4" s="755"/>
      <c r="AO4" s="755"/>
    </row>
    <row r="5" spans="2:43" ht="18" customHeight="1" x14ac:dyDescent="0.25">
      <c r="B5" s="557" t="s">
        <v>589</v>
      </c>
      <c r="C5" s="557"/>
      <c r="D5" s="557"/>
      <c r="E5" s="557"/>
      <c r="F5" s="557"/>
      <c r="G5" s="557"/>
      <c r="H5" s="557"/>
      <c r="I5" s="557"/>
      <c r="J5" s="557"/>
      <c r="K5" s="557"/>
      <c r="L5" s="557"/>
      <c r="M5" s="557"/>
      <c r="N5" s="557"/>
      <c r="O5" s="557"/>
      <c r="P5" s="904" t="str">
        <f>IF(ISBLANK('Project Information'!E6),"",'Project Information'!E6)</f>
        <v/>
      </c>
      <c r="Q5" s="904"/>
      <c r="R5" s="904"/>
      <c r="S5" s="904"/>
      <c r="T5" s="904"/>
      <c r="U5" s="904"/>
      <c r="V5" s="904"/>
      <c r="W5" s="904"/>
      <c r="X5" s="904"/>
      <c r="Y5" s="904" t="str">
        <f>IF(ISBLANK('Project Information'!X6),"",'Project Information'!X6)</f>
        <v/>
      </c>
      <c r="Z5" s="904"/>
      <c r="AA5" s="904"/>
      <c r="AB5" s="904"/>
      <c r="AC5" s="904"/>
      <c r="AD5" s="904"/>
      <c r="AE5" s="158" t="s">
        <v>1</v>
      </c>
      <c r="AF5" s="904" t="str">
        <f>IF(ISBLANK('Project Information'!AK6),"",'Project Information'!AK6)</f>
        <v/>
      </c>
      <c r="AG5" s="904"/>
      <c r="AH5" s="904"/>
      <c r="AI5" s="905" t="str">
        <f>IF(ISBLANK('Project Information'!M15),"",'Project Information'!M15)</f>
        <v/>
      </c>
      <c r="AJ5" s="905"/>
      <c r="AK5" s="905"/>
      <c r="AL5" s="905"/>
      <c r="AM5" s="905"/>
      <c r="AN5" s="905"/>
      <c r="AO5" s="905"/>
    </row>
    <row r="6" spans="2:43" ht="18" customHeight="1" x14ac:dyDescent="0.25">
      <c r="B6" s="557" t="s">
        <v>590</v>
      </c>
      <c r="C6" s="557"/>
      <c r="D6" s="557"/>
      <c r="E6" s="557"/>
      <c r="F6" s="557"/>
      <c r="G6" s="557"/>
      <c r="H6" s="557"/>
      <c r="I6" s="557"/>
      <c r="J6" s="557"/>
      <c r="K6" s="557"/>
      <c r="L6" s="557"/>
      <c r="M6" s="928" t="str">
        <f>IF('Project Information'!G20="","",'Project Information'!G20)</f>
        <v/>
      </c>
      <c r="N6" s="928"/>
      <c r="O6" s="928"/>
      <c r="P6" s="928"/>
      <c r="Q6" s="928"/>
      <c r="R6" s="928"/>
      <c r="S6" s="928"/>
      <c r="T6" s="928"/>
      <c r="U6" s="928"/>
      <c r="V6" s="928"/>
      <c r="W6" s="928"/>
      <c r="X6" s="928"/>
      <c r="Y6" s="928"/>
      <c r="Z6" s="904" t="str">
        <f>IF('Project Information'!G23="","","and")</f>
        <v/>
      </c>
      <c r="AA6" s="904"/>
      <c r="AB6" s="929" t="str">
        <f>IF('Project Information'!G23="","",'Project Information'!G23)</f>
        <v/>
      </c>
      <c r="AC6" s="929"/>
      <c r="AD6" s="929"/>
      <c r="AE6" s="929"/>
      <c r="AF6" s="929"/>
      <c r="AG6" s="929"/>
      <c r="AH6" s="929"/>
      <c r="AI6" s="929"/>
      <c r="AJ6" s="929"/>
      <c r="AK6" s="929"/>
      <c r="AL6" s="929"/>
      <c r="AM6" s="929"/>
      <c r="AN6" s="929"/>
      <c r="AO6" s="237"/>
    </row>
    <row r="7" spans="2:43" ht="3.75" customHeight="1" thickBot="1" x14ac:dyDescent="0.3">
      <c r="B7" s="759"/>
      <c r="C7" s="759"/>
      <c r="D7" s="759"/>
      <c r="E7" s="759"/>
      <c r="F7" s="759"/>
      <c r="G7" s="759"/>
      <c r="H7" s="759"/>
      <c r="I7" s="759"/>
      <c r="J7" s="759"/>
      <c r="K7" s="759"/>
      <c r="L7" s="759"/>
      <c r="M7" s="759"/>
      <c r="N7" s="759"/>
      <c r="O7" s="759"/>
      <c r="P7" s="759"/>
      <c r="Q7" s="759"/>
      <c r="R7" s="759"/>
      <c r="S7" s="759"/>
      <c r="T7" s="759"/>
      <c r="U7" s="759"/>
      <c r="V7" s="759"/>
      <c r="W7" s="759"/>
      <c r="X7" s="759"/>
      <c r="Y7" s="759"/>
      <c r="Z7" s="759"/>
      <c r="AA7" s="759"/>
      <c r="AB7" s="759"/>
      <c r="AC7" s="759"/>
      <c r="AD7" s="759"/>
      <c r="AE7" s="759"/>
      <c r="AF7" s="759"/>
      <c r="AG7" s="759"/>
      <c r="AH7" s="759"/>
      <c r="AI7" s="759"/>
      <c r="AJ7" s="759"/>
      <c r="AK7" s="759"/>
      <c r="AL7" s="759"/>
      <c r="AM7" s="759"/>
      <c r="AN7" s="759"/>
      <c r="AO7" s="759"/>
    </row>
    <row r="8" spans="2:43" ht="21.75" customHeight="1" x14ac:dyDescent="0.25">
      <c r="B8" s="589" t="s">
        <v>184</v>
      </c>
      <c r="C8" s="590"/>
      <c r="D8" s="590"/>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1"/>
    </row>
    <row r="9" spans="2:43" s="5" customFormat="1" ht="27.6" customHeight="1" x14ac:dyDescent="0.25">
      <c r="B9" s="760" t="s">
        <v>104</v>
      </c>
      <c r="C9" s="761"/>
      <c r="D9" s="762" t="s">
        <v>105</v>
      </c>
      <c r="E9" s="763"/>
      <c r="F9" s="763"/>
      <c r="G9" s="763"/>
      <c r="H9" s="763"/>
      <c r="I9" s="763"/>
      <c r="J9" s="763"/>
      <c r="K9" s="763"/>
      <c r="L9" s="763"/>
      <c r="M9" s="764"/>
      <c r="N9" s="765" t="s">
        <v>106</v>
      </c>
      <c r="O9" s="766"/>
      <c r="P9" s="766"/>
      <c r="Q9" s="766"/>
      <c r="R9" s="766"/>
      <c r="S9" s="761"/>
      <c r="T9" s="762" t="s">
        <v>107</v>
      </c>
      <c r="U9" s="763"/>
      <c r="V9" s="763"/>
      <c r="W9" s="764"/>
      <c r="X9" s="762" t="s">
        <v>108</v>
      </c>
      <c r="Y9" s="763"/>
      <c r="Z9" s="763"/>
      <c r="AA9" s="763"/>
      <c r="AB9" s="763"/>
      <c r="AC9" s="764"/>
      <c r="AD9" s="762" t="s">
        <v>448</v>
      </c>
      <c r="AE9" s="763"/>
      <c r="AF9" s="763"/>
      <c r="AG9" s="763"/>
      <c r="AH9" s="763"/>
      <c r="AI9" s="764"/>
      <c r="AJ9" s="765" t="s">
        <v>450</v>
      </c>
      <c r="AK9" s="766"/>
      <c r="AL9" s="766"/>
      <c r="AM9" s="766"/>
      <c r="AN9" s="766"/>
      <c r="AO9" s="787"/>
      <c r="AQ9" s="193"/>
    </row>
    <row r="10" spans="2:43" s="5" customFormat="1" ht="25.9" customHeight="1" x14ac:dyDescent="0.2">
      <c r="B10" s="767"/>
      <c r="C10" s="768"/>
      <c r="D10" s="773" t="s">
        <v>36</v>
      </c>
      <c r="E10" s="774"/>
      <c r="F10" s="774"/>
      <c r="G10" s="774"/>
      <c r="H10" s="774"/>
      <c r="I10" s="774"/>
      <c r="J10" s="774"/>
      <c r="K10" s="774"/>
      <c r="L10" s="774"/>
      <c r="M10" s="775"/>
      <c r="N10" s="776">
        <f>IF(G11="",0,                                                                                                                                                                                                                                                           IF(OR('Project Information'!F15=Measures!B1,'Project Information'!F15=Measures!C1),
IF(T10&lt;500,Measures!C31,
IF(T10&lt;1000,Measures!C32,Measures!C33)),
IF('Project Information'!F15=Measures!D1,
IF(T10&lt;500,Measures!C34,
IF(T10&lt;1000,Measures!C35,Measures!C36)),0)))</f>
        <v>0</v>
      </c>
      <c r="O10" s="777"/>
      <c r="P10" s="777"/>
      <c r="Q10" s="778" t="s">
        <v>111</v>
      </c>
      <c r="R10" s="778"/>
      <c r="S10" s="779"/>
      <c r="T10" s="780">
        <f>G11-M11</f>
        <v>0</v>
      </c>
      <c r="U10" s="781"/>
      <c r="V10" s="781"/>
      <c r="W10" s="782"/>
      <c r="X10" s="783"/>
      <c r="Y10" s="784"/>
      <c r="Z10" s="784"/>
      <c r="AA10" s="784"/>
      <c r="AB10" s="784"/>
      <c r="AC10" s="785"/>
      <c r="AD10" s="677" t="str">
        <f>IF(T10=0,"",N10*T10)</f>
        <v/>
      </c>
      <c r="AE10" s="678"/>
      <c r="AF10" s="678"/>
      <c r="AG10" s="678"/>
      <c r="AH10" s="678"/>
      <c r="AI10" s="679"/>
      <c r="AJ10" s="677" t="str">
        <f>IF(T10=0,"",X10-AD10)</f>
        <v/>
      </c>
      <c r="AK10" s="678"/>
      <c r="AL10" s="678"/>
      <c r="AM10" s="678"/>
      <c r="AN10" s="678"/>
      <c r="AO10" s="786"/>
    </row>
    <row r="11" spans="2:43" s="5" customFormat="1" ht="21.6" customHeight="1" x14ac:dyDescent="0.2">
      <c r="B11" s="771"/>
      <c r="C11" s="772"/>
      <c r="D11" s="680" t="s">
        <v>159</v>
      </c>
      <c r="E11" s="681"/>
      <c r="F11" s="681"/>
      <c r="G11" s="792"/>
      <c r="H11" s="792"/>
      <c r="I11" s="793"/>
      <c r="J11" s="680" t="s">
        <v>160</v>
      </c>
      <c r="K11" s="681"/>
      <c r="L11" s="681"/>
      <c r="M11" s="792"/>
      <c r="N11" s="792"/>
      <c r="O11" s="793"/>
      <c r="P11" s="794" t="s">
        <v>112</v>
      </c>
      <c r="Q11" s="795"/>
      <c r="R11" s="795"/>
      <c r="S11" s="796"/>
      <c r="T11" s="327"/>
      <c r="U11" s="797" t="s">
        <v>113</v>
      </c>
      <c r="V11" s="798"/>
      <c r="W11" s="328"/>
      <c r="X11" s="788" t="s">
        <v>114</v>
      </c>
      <c r="Y11" s="789"/>
      <c r="Z11" s="789"/>
      <c r="AA11" s="790"/>
      <c r="AB11" s="328"/>
      <c r="AC11" s="788" t="s">
        <v>115</v>
      </c>
      <c r="AD11" s="789"/>
      <c r="AE11" s="789"/>
      <c r="AF11" s="790"/>
      <c r="AG11" s="328"/>
      <c r="AH11" s="788" t="s">
        <v>116</v>
      </c>
      <c r="AI11" s="789"/>
      <c r="AJ11" s="789"/>
      <c r="AK11" s="789"/>
      <c r="AL11" s="790"/>
      <c r="AM11" s="328"/>
      <c r="AN11" s="788" t="s">
        <v>18</v>
      </c>
      <c r="AO11" s="791"/>
      <c r="AQ11" s="193"/>
    </row>
    <row r="12" spans="2:43" s="5" customFormat="1" ht="25.9" customHeight="1" x14ac:dyDescent="0.2">
      <c r="B12" s="767"/>
      <c r="C12" s="768"/>
      <c r="D12" s="773" t="s">
        <v>118</v>
      </c>
      <c r="E12" s="774"/>
      <c r="F12" s="774"/>
      <c r="G12" s="774"/>
      <c r="H12" s="774"/>
      <c r="I12" s="774"/>
      <c r="J12" s="774"/>
      <c r="K12" s="774"/>
      <c r="L12" s="774"/>
      <c r="M12" s="775"/>
      <c r="N12" s="776">
        <f>IF(T12=0,0,IF('Project Information'!F15=Measures!B1,Measures!B4,IF('Project Information'!F15=Measures!C1,Measures!C4,IF('Project Information'!F15=Measures!D1,Measures!D4,0))))</f>
        <v>0</v>
      </c>
      <c r="O12" s="777"/>
      <c r="P12" s="777"/>
      <c r="Q12" s="778" t="s">
        <v>117</v>
      </c>
      <c r="R12" s="778"/>
      <c r="S12" s="779"/>
      <c r="T12" s="780">
        <f>E13+E14</f>
        <v>0</v>
      </c>
      <c r="U12" s="781"/>
      <c r="V12" s="781"/>
      <c r="W12" s="782"/>
      <c r="X12" s="783"/>
      <c r="Y12" s="784"/>
      <c r="Z12" s="784"/>
      <c r="AA12" s="784"/>
      <c r="AB12" s="784"/>
      <c r="AC12" s="785"/>
      <c r="AD12" s="677" t="str">
        <f>IF(T12=0,"",N12*T12)</f>
        <v/>
      </c>
      <c r="AE12" s="678"/>
      <c r="AF12" s="678"/>
      <c r="AG12" s="678"/>
      <c r="AH12" s="678"/>
      <c r="AI12" s="679"/>
      <c r="AJ12" s="677" t="str">
        <f>IF(T12=0,"",X12-AD12)</f>
        <v/>
      </c>
      <c r="AK12" s="678"/>
      <c r="AL12" s="678"/>
      <c r="AM12" s="678"/>
      <c r="AN12" s="678"/>
      <c r="AO12" s="786"/>
      <c r="AQ12" s="193"/>
    </row>
    <row r="13" spans="2:43" s="5" customFormat="1" ht="21.6" customHeight="1" x14ac:dyDescent="0.2">
      <c r="B13" s="769"/>
      <c r="C13" s="770"/>
      <c r="D13" s="188" t="s">
        <v>1502</v>
      </c>
      <c r="E13" s="722"/>
      <c r="F13" s="722"/>
      <c r="G13" s="723"/>
      <c r="H13" s="680" t="s">
        <v>119</v>
      </c>
      <c r="I13" s="681"/>
      <c r="J13" s="722"/>
      <c r="K13" s="722"/>
      <c r="L13" s="722"/>
      <c r="M13" s="723"/>
      <c r="N13" s="680" t="s">
        <v>1501</v>
      </c>
      <c r="O13" s="681"/>
      <c r="P13" s="722"/>
      <c r="Q13" s="723"/>
      <c r="R13" s="724" t="s">
        <v>1503</v>
      </c>
      <c r="S13" s="725"/>
      <c r="T13" s="725"/>
      <c r="U13" s="722"/>
      <c r="V13" s="722"/>
      <c r="W13" s="723"/>
      <c r="X13" s="716" t="s">
        <v>402</v>
      </c>
      <c r="Y13" s="717"/>
      <c r="Z13" s="717"/>
      <c r="AA13" s="718"/>
      <c r="AB13" s="719"/>
      <c r="AC13" s="716" t="s">
        <v>123</v>
      </c>
      <c r="AD13" s="717"/>
      <c r="AE13" s="717"/>
      <c r="AF13" s="718"/>
      <c r="AG13" s="719"/>
      <c r="AH13" s="716" t="s">
        <v>124</v>
      </c>
      <c r="AI13" s="717"/>
      <c r="AJ13" s="717"/>
      <c r="AK13" s="720"/>
      <c r="AL13" s="720"/>
      <c r="AM13" s="720"/>
      <c r="AN13" s="720"/>
      <c r="AO13" s="721"/>
    </row>
    <row r="14" spans="2:43" s="5" customFormat="1" ht="21.6" customHeight="1" x14ac:dyDescent="0.2">
      <c r="B14" s="771"/>
      <c r="C14" s="772"/>
      <c r="D14" s="188" t="s">
        <v>1502</v>
      </c>
      <c r="E14" s="722"/>
      <c r="F14" s="722"/>
      <c r="G14" s="723"/>
      <c r="H14" s="680" t="s">
        <v>119</v>
      </c>
      <c r="I14" s="681"/>
      <c r="J14" s="722"/>
      <c r="K14" s="722"/>
      <c r="L14" s="722"/>
      <c r="M14" s="723"/>
      <c r="N14" s="680" t="s">
        <v>1501</v>
      </c>
      <c r="O14" s="681"/>
      <c r="P14" s="722"/>
      <c r="Q14" s="723"/>
      <c r="R14" s="724" t="s">
        <v>1503</v>
      </c>
      <c r="S14" s="725"/>
      <c r="T14" s="725"/>
      <c r="U14" s="722"/>
      <c r="V14" s="722"/>
      <c r="W14" s="723"/>
      <c r="X14" s="716" t="s">
        <v>402</v>
      </c>
      <c r="Y14" s="717"/>
      <c r="Z14" s="717"/>
      <c r="AA14" s="718"/>
      <c r="AB14" s="719"/>
      <c r="AC14" s="716" t="s">
        <v>123</v>
      </c>
      <c r="AD14" s="717"/>
      <c r="AE14" s="717"/>
      <c r="AF14" s="718"/>
      <c r="AG14" s="719"/>
      <c r="AH14" s="716" t="s">
        <v>124</v>
      </c>
      <c r="AI14" s="717"/>
      <c r="AJ14" s="717"/>
      <c r="AK14" s="720"/>
      <c r="AL14" s="720"/>
      <c r="AM14" s="720"/>
      <c r="AN14" s="720"/>
      <c r="AO14" s="721"/>
    </row>
    <row r="15" spans="2:43" s="5" customFormat="1" ht="25.9" customHeight="1" x14ac:dyDescent="0.2">
      <c r="B15" s="767"/>
      <c r="C15" s="768"/>
      <c r="D15" s="773" t="s">
        <v>1411</v>
      </c>
      <c r="E15" s="774"/>
      <c r="F15" s="774"/>
      <c r="G15" s="774"/>
      <c r="H15" s="774"/>
      <c r="I15" s="774"/>
      <c r="J15" s="774"/>
      <c r="K15" s="774"/>
      <c r="L15" s="774"/>
      <c r="M15" s="775"/>
      <c r="N15" s="776">
        <f>IF(T15=0,0,IF('Project Information'!F15=Measures!B1,Measures!B5,IF('Project Information'!F15=Measures!C1,Measures!C5,IF('Project Information'!F15=Measures!D1,Measures!D5,0))))</f>
        <v>0</v>
      </c>
      <c r="O15" s="777"/>
      <c r="P15" s="777"/>
      <c r="Q15" s="778" t="s">
        <v>117</v>
      </c>
      <c r="R15" s="778"/>
      <c r="S15" s="779"/>
      <c r="T15" s="780">
        <f>E16+E17</f>
        <v>0</v>
      </c>
      <c r="U15" s="781"/>
      <c r="V15" s="781"/>
      <c r="W15" s="782"/>
      <c r="X15" s="783"/>
      <c r="Y15" s="784"/>
      <c r="Z15" s="784"/>
      <c r="AA15" s="784"/>
      <c r="AB15" s="784"/>
      <c r="AC15" s="785"/>
      <c r="AD15" s="677" t="str">
        <f>IF(T15=0,"",N15*T15)</f>
        <v/>
      </c>
      <c r="AE15" s="678"/>
      <c r="AF15" s="678"/>
      <c r="AG15" s="678"/>
      <c r="AH15" s="678"/>
      <c r="AI15" s="679"/>
      <c r="AJ15" s="677" t="str">
        <f>IF(T15=0,"",X15-AD15)</f>
        <v/>
      </c>
      <c r="AK15" s="678"/>
      <c r="AL15" s="678"/>
      <c r="AM15" s="678"/>
      <c r="AN15" s="678"/>
      <c r="AO15" s="786"/>
    </row>
    <row r="16" spans="2:43" s="5" customFormat="1" ht="21.6" customHeight="1" x14ac:dyDescent="0.2">
      <c r="B16" s="769"/>
      <c r="C16" s="770"/>
      <c r="D16" s="188" t="s">
        <v>1502</v>
      </c>
      <c r="E16" s="722"/>
      <c r="F16" s="722"/>
      <c r="G16" s="723"/>
      <c r="H16" s="680" t="s">
        <v>119</v>
      </c>
      <c r="I16" s="681"/>
      <c r="J16" s="722"/>
      <c r="K16" s="722"/>
      <c r="L16" s="722"/>
      <c r="M16" s="723"/>
      <c r="N16" s="680" t="s">
        <v>1501</v>
      </c>
      <c r="O16" s="681"/>
      <c r="P16" s="722"/>
      <c r="Q16" s="723"/>
      <c r="R16" s="724" t="s">
        <v>1503</v>
      </c>
      <c r="S16" s="725"/>
      <c r="T16" s="725"/>
      <c r="U16" s="722"/>
      <c r="V16" s="722"/>
      <c r="W16" s="723"/>
      <c r="X16" s="716" t="s">
        <v>402</v>
      </c>
      <c r="Y16" s="717"/>
      <c r="Z16" s="717"/>
      <c r="AA16" s="718"/>
      <c r="AB16" s="719"/>
      <c r="AC16" s="716" t="s">
        <v>123</v>
      </c>
      <c r="AD16" s="717"/>
      <c r="AE16" s="717"/>
      <c r="AF16" s="718"/>
      <c r="AG16" s="719"/>
      <c r="AH16" s="716" t="s">
        <v>124</v>
      </c>
      <c r="AI16" s="717"/>
      <c r="AJ16" s="717"/>
      <c r="AK16" s="720"/>
      <c r="AL16" s="720"/>
      <c r="AM16" s="720"/>
      <c r="AN16" s="720"/>
      <c r="AO16" s="721"/>
    </row>
    <row r="17" spans="2:43" s="5" customFormat="1" ht="21.6" customHeight="1" x14ac:dyDescent="0.2">
      <c r="B17" s="771"/>
      <c r="C17" s="772"/>
      <c r="D17" s="188" t="s">
        <v>1502</v>
      </c>
      <c r="E17" s="722"/>
      <c r="F17" s="722"/>
      <c r="G17" s="723"/>
      <c r="H17" s="680" t="s">
        <v>119</v>
      </c>
      <c r="I17" s="681"/>
      <c r="J17" s="722"/>
      <c r="K17" s="722"/>
      <c r="L17" s="722"/>
      <c r="M17" s="723"/>
      <c r="N17" s="680" t="s">
        <v>1501</v>
      </c>
      <c r="O17" s="681"/>
      <c r="P17" s="722"/>
      <c r="Q17" s="723"/>
      <c r="R17" s="724" t="s">
        <v>1503</v>
      </c>
      <c r="S17" s="725"/>
      <c r="T17" s="725"/>
      <c r="U17" s="722"/>
      <c r="V17" s="722"/>
      <c r="W17" s="723"/>
      <c r="X17" s="716" t="s">
        <v>402</v>
      </c>
      <c r="Y17" s="717"/>
      <c r="Z17" s="717"/>
      <c r="AA17" s="718"/>
      <c r="AB17" s="719"/>
      <c r="AC17" s="716" t="s">
        <v>123</v>
      </c>
      <c r="AD17" s="717"/>
      <c r="AE17" s="717"/>
      <c r="AF17" s="718"/>
      <c r="AG17" s="719"/>
      <c r="AH17" s="716" t="s">
        <v>124</v>
      </c>
      <c r="AI17" s="717"/>
      <c r="AJ17" s="717"/>
      <c r="AK17" s="720"/>
      <c r="AL17" s="720"/>
      <c r="AM17" s="720"/>
      <c r="AN17" s="720"/>
      <c r="AO17" s="721"/>
    </row>
    <row r="18" spans="2:43" s="17" customFormat="1" ht="25.9" customHeight="1" x14ac:dyDescent="0.25">
      <c r="B18" s="767"/>
      <c r="C18" s="768"/>
      <c r="D18" s="773" t="s">
        <v>1648</v>
      </c>
      <c r="E18" s="774"/>
      <c r="F18" s="774"/>
      <c r="G18" s="774"/>
      <c r="H18" s="774"/>
      <c r="I18" s="774"/>
      <c r="J18" s="774"/>
      <c r="K18" s="774"/>
      <c r="L18" s="774"/>
      <c r="M18" s="775"/>
      <c r="N18" s="776">
        <f>IF(T18=0,0,IF('Project Information'!F15=Measures!B1,Measures!B6,IF('Project Information'!F15=Measures!C1,Measures!C6,0)))</f>
        <v>0</v>
      </c>
      <c r="O18" s="777"/>
      <c r="P18" s="777"/>
      <c r="Q18" s="778" t="s">
        <v>117</v>
      </c>
      <c r="R18" s="778"/>
      <c r="S18" s="779"/>
      <c r="T18" s="780">
        <f>E19+E20</f>
        <v>0</v>
      </c>
      <c r="U18" s="781"/>
      <c r="V18" s="781"/>
      <c r="W18" s="782"/>
      <c r="X18" s="783"/>
      <c r="Y18" s="784"/>
      <c r="Z18" s="784"/>
      <c r="AA18" s="784"/>
      <c r="AB18" s="784"/>
      <c r="AC18" s="785"/>
      <c r="AD18" s="677" t="str">
        <f>IF(T18=0,"",N18*T18)</f>
        <v/>
      </c>
      <c r="AE18" s="678"/>
      <c r="AF18" s="678"/>
      <c r="AG18" s="678"/>
      <c r="AH18" s="678"/>
      <c r="AI18" s="679"/>
      <c r="AJ18" s="677" t="str">
        <f>IF(T18=0,"",X18-AD18)</f>
        <v/>
      </c>
      <c r="AK18" s="678"/>
      <c r="AL18" s="678"/>
      <c r="AM18" s="678"/>
      <c r="AN18" s="678"/>
      <c r="AO18" s="786"/>
    </row>
    <row r="19" spans="2:43" s="1" customFormat="1" ht="21.75" customHeight="1" x14ac:dyDescent="0.25">
      <c r="B19" s="769"/>
      <c r="C19" s="770"/>
      <c r="D19" s="188" t="s">
        <v>1502</v>
      </c>
      <c r="E19" s="722"/>
      <c r="F19" s="722"/>
      <c r="G19" s="723"/>
      <c r="H19" s="680" t="s">
        <v>1504</v>
      </c>
      <c r="I19" s="681"/>
      <c r="J19" s="722"/>
      <c r="K19" s="722"/>
      <c r="L19" s="722"/>
      <c r="M19" s="723"/>
      <c r="N19" s="680" t="s">
        <v>1501</v>
      </c>
      <c r="O19" s="681"/>
      <c r="P19" s="722"/>
      <c r="Q19" s="723"/>
      <c r="R19" s="724" t="s">
        <v>1503</v>
      </c>
      <c r="S19" s="725"/>
      <c r="T19" s="725"/>
      <c r="U19" s="722"/>
      <c r="V19" s="722"/>
      <c r="W19" s="723"/>
      <c r="X19" s="716" t="s">
        <v>402</v>
      </c>
      <c r="Y19" s="717"/>
      <c r="Z19" s="717"/>
      <c r="AA19" s="718"/>
      <c r="AB19" s="719"/>
      <c r="AC19" s="716" t="s">
        <v>123</v>
      </c>
      <c r="AD19" s="717"/>
      <c r="AE19" s="717"/>
      <c r="AF19" s="718"/>
      <c r="AG19" s="719"/>
      <c r="AH19" s="716" t="s">
        <v>124</v>
      </c>
      <c r="AI19" s="717"/>
      <c r="AJ19" s="717"/>
      <c r="AK19" s="720"/>
      <c r="AL19" s="720"/>
      <c r="AM19" s="720"/>
      <c r="AN19" s="720"/>
      <c r="AO19" s="721"/>
    </row>
    <row r="20" spans="2:43" s="1" customFormat="1" ht="21.75" customHeight="1" x14ac:dyDescent="0.25">
      <c r="B20" s="771"/>
      <c r="C20" s="772"/>
      <c r="D20" s="188" t="s">
        <v>1502</v>
      </c>
      <c r="E20" s="722"/>
      <c r="F20" s="722"/>
      <c r="G20" s="723"/>
      <c r="H20" s="680" t="s">
        <v>119</v>
      </c>
      <c r="I20" s="681"/>
      <c r="J20" s="722"/>
      <c r="K20" s="722"/>
      <c r="L20" s="722"/>
      <c r="M20" s="723"/>
      <c r="N20" s="680" t="s">
        <v>1501</v>
      </c>
      <c r="O20" s="681"/>
      <c r="P20" s="722"/>
      <c r="Q20" s="723"/>
      <c r="R20" s="724" t="s">
        <v>1503</v>
      </c>
      <c r="S20" s="725"/>
      <c r="T20" s="725"/>
      <c r="U20" s="722"/>
      <c r="V20" s="722"/>
      <c r="W20" s="723"/>
      <c r="X20" s="716" t="s">
        <v>402</v>
      </c>
      <c r="Y20" s="717"/>
      <c r="Z20" s="717"/>
      <c r="AA20" s="718"/>
      <c r="AB20" s="719"/>
      <c r="AC20" s="716" t="s">
        <v>123</v>
      </c>
      <c r="AD20" s="717"/>
      <c r="AE20" s="717"/>
      <c r="AF20" s="718"/>
      <c r="AG20" s="719"/>
      <c r="AH20" s="716" t="s">
        <v>124</v>
      </c>
      <c r="AI20" s="717"/>
      <c r="AJ20" s="717"/>
      <c r="AK20" s="720"/>
      <c r="AL20" s="720"/>
      <c r="AM20" s="720"/>
      <c r="AN20" s="720"/>
      <c r="AO20" s="721"/>
    </row>
    <row r="21" spans="2:43" s="1" customFormat="1" ht="25.9" customHeight="1" x14ac:dyDescent="0.25">
      <c r="B21" s="767"/>
      <c r="C21" s="768"/>
      <c r="D21" s="773" t="s">
        <v>1013</v>
      </c>
      <c r="E21" s="774"/>
      <c r="F21" s="774"/>
      <c r="G21" s="774"/>
      <c r="H21" s="774"/>
      <c r="I21" s="774"/>
      <c r="J21" s="774"/>
      <c r="K21" s="774"/>
      <c r="L21" s="774"/>
      <c r="M21" s="775"/>
      <c r="N21" s="776">
        <f>IF(ISBLANK(T21),0,IF('Project Information'!F15=Measures!B1,Measures!B7,IF('Project Information'!F15=Measures!C1,Measures!C7,IF('Project Information'!F15=Measures!D1,Measures!D7,0))))</f>
        <v>0</v>
      </c>
      <c r="O21" s="777"/>
      <c r="P21" s="777"/>
      <c r="Q21" s="778" t="s">
        <v>117</v>
      </c>
      <c r="R21" s="778"/>
      <c r="S21" s="779"/>
      <c r="T21" s="799"/>
      <c r="U21" s="800"/>
      <c r="V21" s="800"/>
      <c r="W21" s="801"/>
      <c r="X21" s="783"/>
      <c r="Y21" s="784"/>
      <c r="Z21" s="784"/>
      <c r="AA21" s="784"/>
      <c r="AB21" s="784"/>
      <c r="AC21" s="785"/>
      <c r="AD21" s="677" t="str">
        <f>IF(ISBLANK(T21),"",N21*T21)</f>
        <v/>
      </c>
      <c r="AE21" s="678"/>
      <c r="AF21" s="678"/>
      <c r="AG21" s="678"/>
      <c r="AH21" s="678"/>
      <c r="AI21" s="679"/>
      <c r="AJ21" s="677" t="str">
        <f>IF(ISBLANK(T21),"",X21-AD21)</f>
        <v/>
      </c>
      <c r="AK21" s="678"/>
      <c r="AL21" s="678"/>
      <c r="AM21" s="678"/>
      <c r="AN21" s="678"/>
      <c r="AO21" s="786"/>
      <c r="AQ21" s="181"/>
    </row>
    <row r="22" spans="2:43" s="1" customFormat="1" ht="21.75" customHeight="1" x14ac:dyDescent="0.25">
      <c r="B22" s="771"/>
      <c r="C22" s="772"/>
      <c r="D22" s="674"/>
      <c r="E22" s="675"/>
      <c r="F22" s="675"/>
      <c r="G22" s="675"/>
      <c r="H22" s="675"/>
      <c r="I22" s="675"/>
      <c r="J22" s="675"/>
      <c r="K22" s="675"/>
      <c r="L22" s="675"/>
      <c r="M22" s="675"/>
      <c r="N22" s="675"/>
      <c r="O22" s="675"/>
      <c r="P22" s="675"/>
      <c r="Q22" s="675"/>
      <c r="R22" s="675"/>
      <c r="S22" s="675"/>
      <c r="T22" s="675"/>
      <c r="U22" s="675"/>
      <c r="V22" s="675"/>
      <c r="W22" s="756"/>
      <c r="X22" s="716" t="s">
        <v>402</v>
      </c>
      <c r="Y22" s="717"/>
      <c r="Z22" s="717"/>
      <c r="AA22" s="718"/>
      <c r="AB22" s="719"/>
      <c r="AC22" s="716" t="s">
        <v>123</v>
      </c>
      <c r="AD22" s="717"/>
      <c r="AE22" s="717"/>
      <c r="AF22" s="718"/>
      <c r="AG22" s="719"/>
      <c r="AH22" s="716" t="s">
        <v>124</v>
      </c>
      <c r="AI22" s="717"/>
      <c r="AJ22" s="717"/>
      <c r="AK22" s="720"/>
      <c r="AL22" s="720"/>
      <c r="AM22" s="720"/>
      <c r="AN22" s="720"/>
      <c r="AO22" s="721"/>
    </row>
    <row r="23" spans="2:43" s="1" customFormat="1" ht="25.9" customHeight="1" x14ac:dyDescent="0.25">
      <c r="B23" s="767"/>
      <c r="C23" s="768"/>
      <c r="D23" s="773" t="s">
        <v>1014</v>
      </c>
      <c r="E23" s="774"/>
      <c r="F23" s="774"/>
      <c r="G23" s="774"/>
      <c r="H23" s="774"/>
      <c r="I23" s="774"/>
      <c r="J23" s="774"/>
      <c r="K23" s="774"/>
      <c r="L23" s="774"/>
      <c r="M23" s="775"/>
      <c r="N23" s="776">
        <f>IF(ISBLANK(T23),0,IF('Project Information'!F15=Measures!B1,Measures!B8,IF('Project Information'!F15=Measures!C1,Measures!C8,IF('Project Information'!F15=Measures!D1,Measures!D8,0))))</f>
        <v>0</v>
      </c>
      <c r="O23" s="777"/>
      <c r="P23" s="777"/>
      <c r="Q23" s="778" t="s">
        <v>117</v>
      </c>
      <c r="R23" s="778"/>
      <c r="S23" s="779"/>
      <c r="T23" s="799"/>
      <c r="U23" s="800"/>
      <c r="V23" s="800"/>
      <c r="W23" s="801"/>
      <c r="X23" s="783"/>
      <c r="Y23" s="784"/>
      <c r="Z23" s="784"/>
      <c r="AA23" s="784"/>
      <c r="AB23" s="784"/>
      <c r="AC23" s="785"/>
      <c r="AD23" s="677" t="str">
        <f>IF(ISBLANK(T23),"",N23*T23)</f>
        <v/>
      </c>
      <c r="AE23" s="678"/>
      <c r="AF23" s="678"/>
      <c r="AG23" s="678"/>
      <c r="AH23" s="678"/>
      <c r="AI23" s="679"/>
      <c r="AJ23" s="677" t="str">
        <f>IF(ISBLANK(T23),"",X23-AD23)</f>
        <v/>
      </c>
      <c r="AK23" s="678"/>
      <c r="AL23" s="678"/>
      <c r="AM23" s="678"/>
      <c r="AN23" s="678"/>
      <c r="AO23" s="786"/>
    </row>
    <row r="24" spans="2:43" s="1" customFormat="1" ht="21.75" customHeight="1" x14ac:dyDescent="0.25">
      <c r="B24" s="771"/>
      <c r="C24" s="772"/>
      <c r="D24" s="683" t="s">
        <v>1505</v>
      </c>
      <c r="E24" s="684"/>
      <c r="F24" s="684"/>
      <c r="G24" s="684"/>
      <c r="H24" s="684"/>
      <c r="I24" s="684"/>
      <c r="J24" s="684"/>
      <c r="K24" s="684"/>
      <c r="L24" s="684"/>
      <c r="M24" s="684"/>
      <c r="N24" s="802"/>
      <c r="O24" s="802"/>
      <c r="P24" s="802"/>
      <c r="Q24" s="802"/>
      <c r="R24" s="802"/>
      <c r="S24" s="802"/>
      <c r="T24" s="675"/>
      <c r="U24" s="675"/>
      <c r="V24" s="675"/>
      <c r="W24" s="756"/>
      <c r="X24" s="716" t="s">
        <v>402</v>
      </c>
      <c r="Y24" s="717"/>
      <c r="Z24" s="717"/>
      <c r="AA24" s="718"/>
      <c r="AB24" s="719"/>
      <c r="AC24" s="716" t="s">
        <v>123</v>
      </c>
      <c r="AD24" s="717"/>
      <c r="AE24" s="717"/>
      <c r="AF24" s="718"/>
      <c r="AG24" s="719"/>
      <c r="AH24" s="716" t="s">
        <v>124</v>
      </c>
      <c r="AI24" s="717"/>
      <c r="AJ24" s="717"/>
      <c r="AK24" s="720"/>
      <c r="AL24" s="720"/>
      <c r="AM24" s="720"/>
      <c r="AN24" s="720"/>
      <c r="AO24" s="721"/>
    </row>
    <row r="25" spans="2:43" s="1" customFormat="1" ht="25.9" customHeight="1" x14ac:dyDescent="0.25">
      <c r="B25" s="767"/>
      <c r="C25" s="768"/>
      <c r="D25" s="773" t="s">
        <v>1015</v>
      </c>
      <c r="E25" s="774"/>
      <c r="F25" s="774"/>
      <c r="G25" s="774"/>
      <c r="H25" s="774"/>
      <c r="I25" s="774"/>
      <c r="J25" s="774"/>
      <c r="K25" s="774"/>
      <c r="L25" s="774"/>
      <c r="M25" s="775"/>
      <c r="N25" s="776">
        <f>IF(ISBLANK(T25),0,IF('Project Information'!F15=Measures!B1,Measures!B9,IF('Project Information'!F15=Measures!C1,Measures!C9,IF('Project Information'!F15=Measures!D1,Measures!D9,0))))</f>
        <v>0</v>
      </c>
      <c r="O25" s="777"/>
      <c r="P25" s="777"/>
      <c r="Q25" s="778" t="s">
        <v>869</v>
      </c>
      <c r="R25" s="778"/>
      <c r="S25" s="779"/>
      <c r="T25" s="799"/>
      <c r="U25" s="800"/>
      <c r="V25" s="800"/>
      <c r="W25" s="801"/>
      <c r="X25" s="783"/>
      <c r="Y25" s="784"/>
      <c r="Z25" s="784"/>
      <c r="AA25" s="784"/>
      <c r="AB25" s="784"/>
      <c r="AC25" s="785"/>
      <c r="AD25" s="677" t="str">
        <f>IF(ISBLANK(T25),"",N25*T25)</f>
        <v/>
      </c>
      <c r="AE25" s="678"/>
      <c r="AF25" s="678"/>
      <c r="AG25" s="678"/>
      <c r="AH25" s="678"/>
      <c r="AI25" s="679"/>
      <c r="AJ25" s="677" t="str">
        <f>IF(ISBLANK(T25),"",X25-AD25)</f>
        <v/>
      </c>
      <c r="AK25" s="678"/>
      <c r="AL25" s="678"/>
      <c r="AM25" s="678"/>
      <c r="AN25" s="678"/>
      <c r="AO25" s="786"/>
    </row>
    <row r="26" spans="2:43" s="1" customFormat="1" ht="21.75" customHeight="1" x14ac:dyDescent="0.25">
      <c r="B26" s="771"/>
      <c r="C26" s="772"/>
      <c r="D26" s="674"/>
      <c r="E26" s="675"/>
      <c r="F26" s="675"/>
      <c r="G26" s="675"/>
      <c r="H26" s="675"/>
      <c r="I26" s="675"/>
      <c r="J26" s="675"/>
      <c r="K26" s="675"/>
      <c r="L26" s="675"/>
      <c r="M26" s="675"/>
      <c r="N26" s="675"/>
      <c r="O26" s="675"/>
      <c r="P26" s="675"/>
      <c r="Q26" s="675"/>
      <c r="R26" s="675"/>
      <c r="S26" s="675"/>
      <c r="T26" s="675"/>
      <c r="U26" s="675"/>
      <c r="V26" s="675"/>
      <c r="W26" s="756"/>
      <c r="X26" s="716" t="s">
        <v>402</v>
      </c>
      <c r="Y26" s="717"/>
      <c r="Z26" s="717"/>
      <c r="AA26" s="718"/>
      <c r="AB26" s="719"/>
      <c r="AC26" s="716" t="s">
        <v>123</v>
      </c>
      <c r="AD26" s="717"/>
      <c r="AE26" s="717"/>
      <c r="AF26" s="718"/>
      <c r="AG26" s="719"/>
      <c r="AH26" s="716" t="s">
        <v>124</v>
      </c>
      <c r="AI26" s="717"/>
      <c r="AJ26" s="717"/>
      <c r="AK26" s="720"/>
      <c r="AL26" s="720"/>
      <c r="AM26" s="720"/>
      <c r="AN26" s="720"/>
      <c r="AO26" s="721"/>
    </row>
    <row r="27" spans="2:43" s="1" customFormat="1" ht="25.9" customHeight="1" x14ac:dyDescent="0.25">
      <c r="B27" s="767"/>
      <c r="C27" s="768"/>
      <c r="D27" s="803" t="s">
        <v>1016</v>
      </c>
      <c r="E27" s="804"/>
      <c r="F27" s="804"/>
      <c r="G27" s="804"/>
      <c r="H27" s="804"/>
      <c r="I27" s="804"/>
      <c r="J27" s="804"/>
      <c r="K27" s="804"/>
      <c r="L27" s="804"/>
      <c r="M27" s="805"/>
      <c r="N27" s="776">
        <f>IF(ISBLANK(T27),0,IF(D27=Measures!I26,IF('Project Information'!F15=Measures!B1,Measures!B10,IF('Project Information'!F15=Measures!C1,Measures!C10,IF('Project Information'!F15=Measures!D1,Measures!D10))),IF(D27=Measures!I27,IF('Project Information'!F15=Measures!B1,Measures!B11,IF('Project Information'!F15=Measures!C1,Measures!C11,IF('Project Information'!F15=Measures!D1,Measures!D11))))))</f>
        <v>0</v>
      </c>
      <c r="O27" s="777"/>
      <c r="P27" s="777"/>
      <c r="Q27" s="778" t="s">
        <v>869</v>
      </c>
      <c r="R27" s="778"/>
      <c r="S27" s="779"/>
      <c r="T27" s="799"/>
      <c r="U27" s="800"/>
      <c r="V27" s="800"/>
      <c r="W27" s="801"/>
      <c r="X27" s="783"/>
      <c r="Y27" s="784"/>
      <c r="Z27" s="784"/>
      <c r="AA27" s="784"/>
      <c r="AB27" s="784"/>
      <c r="AC27" s="785"/>
      <c r="AD27" s="677" t="str">
        <f>IF(ISBLANK(T27),"",N27*T27)</f>
        <v/>
      </c>
      <c r="AE27" s="678"/>
      <c r="AF27" s="678"/>
      <c r="AG27" s="678"/>
      <c r="AH27" s="678"/>
      <c r="AI27" s="679"/>
      <c r="AJ27" s="677" t="str">
        <f>IF(ISBLANK(T27),"",X27-AD27)</f>
        <v/>
      </c>
      <c r="AK27" s="678"/>
      <c r="AL27" s="678"/>
      <c r="AM27" s="678"/>
      <c r="AN27" s="678"/>
      <c r="AO27" s="786"/>
    </row>
    <row r="28" spans="2:43" s="1" customFormat="1" ht="21.75" customHeight="1" x14ac:dyDescent="0.25">
      <c r="B28" s="771"/>
      <c r="C28" s="772"/>
      <c r="D28" s="674"/>
      <c r="E28" s="675"/>
      <c r="F28" s="675"/>
      <c r="G28" s="675"/>
      <c r="H28" s="681" t="s">
        <v>874</v>
      </c>
      <c r="I28" s="681"/>
      <c r="J28" s="681"/>
      <c r="K28" s="681"/>
      <c r="L28" s="757"/>
      <c r="M28" s="758"/>
      <c r="N28" s="680" t="s">
        <v>875</v>
      </c>
      <c r="O28" s="681"/>
      <c r="P28" s="681"/>
      <c r="Q28" s="681"/>
      <c r="R28" s="757"/>
      <c r="S28" s="758"/>
      <c r="T28" s="683" t="s">
        <v>202</v>
      </c>
      <c r="U28" s="684"/>
      <c r="V28" s="675">
        <f>L28+R28</f>
        <v>0</v>
      </c>
      <c r="W28" s="756"/>
      <c r="X28" s="716" t="s">
        <v>402</v>
      </c>
      <c r="Y28" s="717"/>
      <c r="Z28" s="717"/>
      <c r="AA28" s="718"/>
      <c r="AB28" s="719"/>
      <c r="AC28" s="716" t="s">
        <v>123</v>
      </c>
      <c r="AD28" s="717"/>
      <c r="AE28" s="717"/>
      <c r="AF28" s="718"/>
      <c r="AG28" s="719"/>
      <c r="AH28" s="716" t="s">
        <v>124</v>
      </c>
      <c r="AI28" s="717"/>
      <c r="AJ28" s="717"/>
      <c r="AK28" s="720"/>
      <c r="AL28" s="720"/>
      <c r="AM28" s="720"/>
      <c r="AN28" s="720"/>
      <c r="AO28" s="721"/>
    </row>
    <row r="29" spans="2:43" s="1" customFormat="1" ht="25.9" customHeight="1" x14ac:dyDescent="0.25">
      <c r="B29" s="767"/>
      <c r="C29" s="768"/>
      <c r="D29" s="773" t="s">
        <v>131</v>
      </c>
      <c r="E29" s="774"/>
      <c r="F29" s="774"/>
      <c r="G29" s="774"/>
      <c r="H29" s="774"/>
      <c r="I29" s="774"/>
      <c r="J29" s="774"/>
      <c r="K29" s="774"/>
      <c r="L29" s="774"/>
      <c r="M29" s="775"/>
      <c r="N29" s="776">
        <f>IF(ISBLANK(T29),0,IF('Project Information'!F15=Measures!B1,Measures!B14,IF('Project Information'!F15=Measures!C1,Measures!C14,IF('Project Information'!F15=Measures!D1,Measures!D14,0))))</f>
        <v>0</v>
      </c>
      <c r="O29" s="777"/>
      <c r="P29" s="777"/>
      <c r="Q29" s="778" t="s">
        <v>132</v>
      </c>
      <c r="R29" s="778"/>
      <c r="S29" s="779"/>
      <c r="T29" s="799"/>
      <c r="U29" s="800"/>
      <c r="V29" s="800"/>
      <c r="W29" s="801"/>
      <c r="X29" s="783"/>
      <c r="Y29" s="784"/>
      <c r="Z29" s="784"/>
      <c r="AA29" s="784"/>
      <c r="AB29" s="784"/>
      <c r="AC29" s="785"/>
      <c r="AD29" s="677" t="str">
        <f>IF(ISBLANK(T29),"",N29*T29)</f>
        <v/>
      </c>
      <c r="AE29" s="678"/>
      <c r="AF29" s="678"/>
      <c r="AG29" s="678"/>
      <c r="AH29" s="678"/>
      <c r="AI29" s="679"/>
      <c r="AJ29" s="677" t="str">
        <f>IF(ISBLANK(T29),"",X29-AD29)</f>
        <v/>
      </c>
      <c r="AK29" s="678"/>
      <c r="AL29" s="678"/>
      <c r="AM29" s="678"/>
      <c r="AN29" s="678"/>
      <c r="AO29" s="786"/>
    </row>
    <row r="30" spans="2:43" s="1" customFormat="1" ht="21.75" customHeight="1" thickBot="1" x14ac:dyDescent="0.3">
      <c r="B30" s="817"/>
      <c r="C30" s="818"/>
      <c r="D30" s="807" t="s">
        <v>1506</v>
      </c>
      <c r="E30" s="808"/>
      <c r="F30" s="808"/>
      <c r="G30" s="808"/>
      <c r="H30" s="808"/>
      <c r="I30" s="808"/>
      <c r="J30" s="808"/>
      <c r="K30" s="808"/>
      <c r="L30" s="808"/>
      <c r="M30" s="808"/>
      <c r="N30" s="809"/>
      <c r="O30" s="810"/>
      <c r="P30" s="807" t="s">
        <v>1507</v>
      </c>
      <c r="Q30" s="808"/>
      <c r="R30" s="808"/>
      <c r="S30" s="808"/>
      <c r="T30" s="808"/>
      <c r="U30" s="808"/>
      <c r="V30" s="808"/>
      <c r="W30" s="811"/>
      <c r="X30" s="812"/>
      <c r="Y30" s="813" t="s">
        <v>1508</v>
      </c>
      <c r="Z30" s="814"/>
      <c r="AA30" s="814"/>
      <c r="AB30" s="814"/>
      <c r="AC30" s="814"/>
      <c r="AD30" s="814"/>
      <c r="AE30" s="814"/>
      <c r="AF30" s="811"/>
      <c r="AG30" s="812"/>
      <c r="AH30" s="813" t="s">
        <v>112</v>
      </c>
      <c r="AI30" s="814"/>
      <c r="AJ30" s="814"/>
      <c r="AK30" s="815"/>
      <c r="AL30" s="815"/>
      <c r="AM30" s="815"/>
      <c r="AN30" s="815"/>
      <c r="AO30" s="816"/>
    </row>
    <row r="31" spans="2:43" s="1" customFormat="1" ht="18" customHeight="1" thickTop="1" thickBot="1" x14ac:dyDescent="0.3">
      <c r="B31" s="819" t="s">
        <v>172</v>
      </c>
      <c r="C31" s="820"/>
      <c r="D31" s="820"/>
      <c r="E31" s="820"/>
      <c r="F31" s="820"/>
      <c r="G31" s="820"/>
      <c r="H31" s="820"/>
      <c r="I31" s="820"/>
      <c r="J31" s="820"/>
      <c r="K31" s="820"/>
      <c r="L31" s="820"/>
      <c r="M31" s="820"/>
      <c r="N31" s="820"/>
      <c r="O31" s="820"/>
      <c r="P31" s="820"/>
      <c r="Q31" s="820"/>
      <c r="R31" s="820"/>
      <c r="S31" s="820"/>
      <c r="T31" s="820"/>
      <c r="U31" s="820"/>
      <c r="V31" s="820"/>
      <c r="W31" s="821"/>
      <c r="X31" s="822">
        <f>SUM(IF(X10="",0,X10)+IF(X12="",0,X12)+IF(X15="",0,X15)+IF(X18="",0,X18)+IF(X21="",0,X21)+IF(X23="",0,X23)+IF(X25="",0,X25)+IF(X27="",0,X27)+IF(X29="",0,X29))</f>
        <v>0</v>
      </c>
      <c r="Y31" s="823"/>
      <c r="Z31" s="823"/>
      <c r="AA31" s="823"/>
      <c r="AB31" s="823"/>
      <c r="AC31" s="824"/>
      <c r="AD31" s="825">
        <f>SUM(IF(AD10="",0,AD10)+IF(AD12="",0,AD12)+IF(AD15="",0,AD15)+IF(AD18="",0,AD18)+IF(AD21="",0,AD21)+IF(AD23="",0,AD23)+IF(AD25="",0,AD25)+IF(AD27="",0,AD27)+IF(AD29="",0,AD29))</f>
        <v>0</v>
      </c>
      <c r="AE31" s="826"/>
      <c r="AF31" s="826"/>
      <c r="AG31" s="826"/>
      <c r="AH31" s="826"/>
      <c r="AI31" s="827"/>
      <c r="AJ31" s="825">
        <f>SUM(IF(AJ10="",0,AJ10)+IF(AJ12="",0,AJ12)+IF(AJ15="",0,AJ15)+IF(AJ18="",0,AJ18)+IF(AJ21="",0,AJ21)+IF(AJ23="",0,AJ23)+IF(AJ25="",0,AJ25)+IF(AJ27="",0,AJ27)+IF(AJ29="",0,AJ29))</f>
        <v>0</v>
      </c>
      <c r="AK31" s="826"/>
      <c r="AL31" s="826"/>
      <c r="AM31" s="826"/>
      <c r="AN31" s="826"/>
      <c r="AO31" s="828"/>
    </row>
    <row r="32" spans="2:43" s="1" customFormat="1" ht="3.6" customHeight="1" thickBot="1" x14ac:dyDescent="0.3">
      <c r="B32" s="806"/>
      <c r="C32" s="806"/>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c r="AK32" s="806"/>
      <c r="AL32" s="806"/>
      <c r="AM32" s="806"/>
      <c r="AN32" s="806"/>
      <c r="AO32" s="806"/>
    </row>
    <row r="33" spans="2:43" ht="21.75" customHeight="1" x14ac:dyDescent="0.25">
      <c r="B33" s="589" t="s">
        <v>185</v>
      </c>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590"/>
      <c r="AO33" s="591"/>
    </row>
    <row r="34" spans="2:43" ht="27.6" customHeight="1" x14ac:dyDescent="0.25">
      <c r="B34" s="760" t="s">
        <v>104</v>
      </c>
      <c r="C34" s="761"/>
      <c r="D34" s="762" t="s">
        <v>105</v>
      </c>
      <c r="E34" s="763"/>
      <c r="F34" s="763"/>
      <c r="G34" s="763"/>
      <c r="H34" s="763"/>
      <c r="I34" s="763"/>
      <c r="J34" s="763"/>
      <c r="K34" s="763"/>
      <c r="L34" s="763"/>
      <c r="M34" s="764"/>
      <c r="N34" s="765" t="s">
        <v>106</v>
      </c>
      <c r="O34" s="766"/>
      <c r="P34" s="766"/>
      <c r="Q34" s="766"/>
      <c r="R34" s="766"/>
      <c r="S34" s="761"/>
      <c r="T34" s="762" t="s">
        <v>107</v>
      </c>
      <c r="U34" s="763"/>
      <c r="V34" s="763"/>
      <c r="W34" s="764"/>
      <c r="X34" s="762" t="s">
        <v>108</v>
      </c>
      <c r="Y34" s="763"/>
      <c r="Z34" s="763"/>
      <c r="AA34" s="763"/>
      <c r="AB34" s="763"/>
      <c r="AC34" s="764"/>
      <c r="AD34" s="762" t="s">
        <v>448</v>
      </c>
      <c r="AE34" s="763"/>
      <c r="AF34" s="763"/>
      <c r="AG34" s="763"/>
      <c r="AH34" s="763"/>
      <c r="AI34" s="764"/>
      <c r="AJ34" s="765" t="s">
        <v>450</v>
      </c>
      <c r="AK34" s="766"/>
      <c r="AL34" s="766"/>
      <c r="AM34" s="766"/>
      <c r="AN34" s="766"/>
      <c r="AO34" s="787"/>
    </row>
    <row r="35" spans="2:43" s="5" customFormat="1" ht="25.9" customHeight="1" x14ac:dyDescent="0.2">
      <c r="B35" s="767"/>
      <c r="C35" s="768"/>
      <c r="D35" s="803" t="s">
        <v>47</v>
      </c>
      <c r="E35" s="804"/>
      <c r="F35" s="804"/>
      <c r="G35" s="804"/>
      <c r="H35" s="804"/>
      <c r="I35" s="804"/>
      <c r="J35" s="804"/>
      <c r="K35" s="804"/>
      <c r="L35" s="804"/>
      <c r="M35" s="805"/>
      <c r="N35" s="776">
        <f>IF(ISBLANK(T35),0,IF(D35=Measures!I30,IF('Project Information'!F15=Measures!B1,Measures!B12,IF('Project Information'!F15=Measures!C1,Measures!C12,IF('Project Information'!F15=Measures!D1,Measures!D12))),IF(D35=Measures!I31,IF('Project Information'!F15=Measures!B1,Measures!B13,IF('Project Information'!F15=Measures!C1,Measures!C13,IF('Project Information'!F15=Measures!D1,Measures!D13))))))</f>
        <v>0</v>
      </c>
      <c r="O35" s="777"/>
      <c r="P35" s="777"/>
      <c r="Q35" s="778" t="s">
        <v>140</v>
      </c>
      <c r="R35" s="778"/>
      <c r="S35" s="779"/>
      <c r="T35" s="799"/>
      <c r="U35" s="800"/>
      <c r="V35" s="800"/>
      <c r="W35" s="801"/>
      <c r="X35" s="783"/>
      <c r="Y35" s="784"/>
      <c r="Z35" s="784"/>
      <c r="AA35" s="784"/>
      <c r="AB35" s="784"/>
      <c r="AC35" s="785"/>
      <c r="AD35" s="677" t="str">
        <f>IF(ISBLANK(T35),"",N35*T35)</f>
        <v/>
      </c>
      <c r="AE35" s="678"/>
      <c r="AF35" s="678"/>
      <c r="AG35" s="678"/>
      <c r="AH35" s="678"/>
      <c r="AI35" s="679"/>
      <c r="AJ35" s="677" t="str">
        <f>IF(ISBLANK(T35),"",X35-AD35)</f>
        <v/>
      </c>
      <c r="AK35" s="678"/>
      <c r="AL35" s="678"/>
      <c r="AM35" s="678"/>
      <c r="AN35" s="678"/>
      <c r="AO35" s="786"/>
    </row>
    <row r="36" spans="2:43" s="2" customFormat="1" ht="18" customHeight="1" x14ac:dyDescent="0.25">
      <c r="B36" s="771"/>
      <c r="C36" s="772"/>
      <c r="D36" s="834"/>
      <c r="E36" s="835"/>
      <c r="F36" s="835"/>
      <c r="G36" s="835"/>
      <c r="H36" s="835"/>
      <c r="I36" s="835"/>
      <c r="J36" s="835"/>
      <c r="K36" s="835"/>
      <c r="L36" s="835"/>
      <c r="M36" s="835"/>
      <c r="N36" s="681" t="s">
        <v>1509</v>
      </c>
      <c r="O36" s="681"/>
      <c r="P36" s="681"/>
      <c r="Q36" s="681"/>
      <c r="R36" s="676"/>
      <c r="S36" s="676"/>
      <c r="T36" s="676"/>
      <c r="U36" s="676"/>
      <c r="V36" s="676"/>
      <c r="W36" s="682"/>
      <c r="X36" s="829" t="s">
        <v>1510</v>
      </c>
      <c r="Y36" s="830"/>
      <c r="Z36" s="830"/>
      <c r="AA36" s="830"/>
      <c r="AB36" s="720"/>
      <c r="AC36" s="720"/>
      <c r="AD36" s="720"/>
      <c r="AE36" s="720"/>
      <c r="AF36" s="720"/>
      <c r="AG36" s="720"/>
      <c r="AH36" s="831"/>
      <c r="AI36" s="829" t="s">
        <v>141</v>
      </c>
      <c r="AJ36" s="830"/>
      <c r="AK36" s="832"/>
      <c r="AL36" s="832"/>
      <c r="AM36" s="832"/>
      <c r="AN36" s="832"/>
      <c r="AO36" s="833"/>
      <c r="AQ36" s="146"/>
    </row>
    <row r="37" spans="2:43" s="2" customFormat="1" ht="25.9" customHeight="1" x14ac:dyDescent="0.25">
      <c r="B37" s="767"/>
      <c r="C37" s="768"/>
      <c r="D37" s="773" t="s">
        <v>1714</v>
      </c>
      <c r="E37" s="774"/>
      <c r="F37" s="774"/>
      <c r="G37" s="774"/>
      <c r="H37" s="774"/>
      <c r="I37" s="774"/>
      <c r="J37" s="774"/>
      <c r="K37" s="774"/>
      <c r="L37" s="774"/>
      <c r="M37" s="775"/>
      <c r="N37" s="776">
        <f>IF(ISBLANK(T37),0,IF('Project Information'!F15=Measures!B1,Measures!B20,IF('Project Information'!F15=Measures!C1,Measures!C20,IF('Project Information'!F15=Measures!D1,Measures!D20,0))))</f>
        <v>0</v>
      </c>
      <c r="O37" s="777"/>
      <c r="P37" s="777"/>
      <c r="Q37" s="778" t="s">
        <v>140</v>
      </c>
      <c r="R37" s="778"/>
      <c r="S37" s="779"/>
      <c r="T37" s="799"/>
      <c r="U37" s="800"/>
      <c r="V37" s="800"/>
      <c r="W37" s="801"/>
      <c r="X37" s="783"/>
      <c r="Y37" s="784"/>
      <c r="Z37" s="784"/>
      <c r="AA37" s="784"/>
      <c r="AB37" s="784"/>
      <c r="AC37" s="785"/>
      <c r="AD37" s="677" t="str">
        <f>IF(ISBLANK(T37),"",N37*T37)</f>
        <v/>
      </c>
      <c r="AE37" s="678"/>
      <c r="AF37" s="678"/>
      <c r="AG37" s="678"/>
      <c r="AH37" s="678"/>
      <c r="AI37" s="679"/>
      <c r="AJ37" s="677" t="str">
        <f>IF(ISBLANK(T37),"",X37-AD37)</f>
        <v/>
      </c>
      <c r="AK37" s="678"/>
      <c r="AL37" s="678"/>
      <c r="AM37" s="678"/>
      <c r="AN37" s="678"/>
      <c r="AO37" s="786"/>
    </row>
    <row r="38" spans="2:43" s="2" customFormat="1" ht="18" customHeight="1" x14ac:dyDescent="0.25">
      <c r="B38" s="771"/>
      <c r="C38" s="772"/>
      <c r="D38" s="834"/>
      <c r="E38" s="835"/>
      <c r="F38" s="835"/>
      <c r="G38" s="835"/>
      <c r="H38" s="835"/>
      <c r="I38" s="835"/>
      <c r="J38" s="835"/>
      <c r="K38" s="835"/>
      <c r="L38" s="835"/>
      <c r="M38" s="835"/>
      <c r="N38" s="681" t="s">
        <v>1509</v>
      </c>
      <c r="O38" s="681"/>
      <c r="P38" s="681"/>
      <c r="Q38" s="681"/>
      <c r="R38" s="676"/>
      <c r="S38" s="676"/>
      <c r="T38" s="676"/>
      <c r="U38" s="676"/>
      <c r="V38" s="676"/>
      <c r="W38" s="682"/>
      <c r="X38" s="829" t="s">
        <v>1510</v>
      </c>
      <c r="Y38" s="830"/>
      <c r="Z38" s="830"/>
      <c r="AA38" s="830"/>
      <c r="AB38" s="720"/>
      <c r="AC38" s="720"/>
      <c r="AD38" s="720"/>
      <c r="AE38" s="720"/>
      <c r="AF38" s="720"/>
      <c r="AG38" s="720"/>
      <c r="AH38" s="831"/>
      <c r="AI38" s="829" t="s">
        <v>141</v>
      </c>
      <c r="AJ38" s="830"/>
      <c r="AK38" s="832"/>
      <c r="AL38" s="832"/>
      <c r="AM38" s="832"/>
      <c r="AN38" s="832"/>
      <c r="AO38" s="833"/>
    </row>
    <row r="39" spans="2:43" s="2" customFormat="1" ht="25.9" customHeight="1" x14ac:dyDescent="0.25">
      <c r="B39" s="767"/>
      <c r="C39" s="768"/>
      <c r="D39" s="803" t="s">
        <v>358</v>
      </c>
      <c r="E39" s="804"/>
      <c r="F39" s="804"/>
      <c r="G39" s="804"/>
      <c r="H39" s="804"/>
      <c r="I39" s="804"/>
      <c r="J39" s="804"/>
      <c r="K39" s="804"/>
      <c r="L39" s="804"/>
      <c r="M39" s="805"/>
      <c r="N39" s="776">
        <f>IF(ISBLANK(T39),0,IF(D39=Measures!I41,0,
IF(AND('Project Information'!N42=Lists!D3,D39=Measures!I42),T39*X39,
IF(D39=Measures!I43,T39*X39,
IF(D39=Measures!I44,T39*X39,
IF('Project Information'!F15=Measures!B1,T39*X39,
IF('Project Information'!F15=Measures!C1,IFERROR(VLOOKUP(AN40,'HVAC Tier 2 Incentive Table'!A42:B44,2,TRUE),0),0)))))))</f>
        <v>0</v>
      </c>
      <c r="O39" s="777"/>
      <c r="P39" s="777"/>
      <c r="Q39" s="778" t="s">
        <v>140</v>
      </c>
      <c r="R39" s="778"/>
      <c r="S39" s="779"/>
      <c r="T39" s="799"/>
      <c r="U39" s="800"/>
      <c r="V39" s="800"/>
      <c r="W39" s="801"/>
      <c r="X39" s="783"/>
      <c r="Y39" s="784"/>
      <c r="Z39" s="784"/>
      <c r="AA39" s="784"/>
      <c r="AB39" s="784"/>
      <c r="AC39" s="785"/>
      <c r="AD39" s="677" t="str">
        <f>IF(ISBLANK(T39),"",N39*T39)</f>
        <v/>
      </c>
      <c r="AE39" s="678"/>
      <c r="AF39" s="678"/>
      <c r="AG39" s="678"/>
      <c r="AH39" s="678"/>
      <c r="AI39" s="679"/>
      <c r="AJ39" s="677" t="str">
        <f>IF(ISBLANK(T39),"",X39-AD39)</f>
        <v/>
      </c>
      <c r="AK39" s="678"/>
      <c r="AL39" s="678"/>
      <c r="AM39" s="678"/>
      <c r="AN39" s="678"/>
      <c r="AO39" s="786"/>
    </row>
    <row r="40" spans="2:43" s="2" customFormat="1" ht="18" customHeight="1" x14ac:dyDescent="0.25">
      <c r="B40" s="771"/>
      <c r="C40" s="772"/>
      <c r="D40" s="683" t="s">
        <v>1509</v>
      </c>
      <c r="E40" s="684"/>
      <c r="F40" s="684"/>
      <c r="G40" s="684"/>
      <c r="H40" s="832"/>
      <c r="I40" s="832"/>
      <c r="J40" s="832"/>
      <c r="K40" s="832"/>
      <c r="L40" s="832"/>
      <c r="M40" s="838"/>
      <c r="N40" s="829" t="s">
        <v>1510</v>
      </c>
      <c r="O40" s="830"/>
      <c r="P40" s="830"/>
      <c r="Q40" s="830"/>
      <c r="R40" s="830"/>
      <c r="S40" s="830"/>
      <c r="T40" s="720"/>
      <c r="U40" s="720"/>
      <c r="V40" s="720"/>
      <c r="W40" s="720"/>
      <c r="X40" s="720"/>
      <c r="Y40" s="720"/>
      <c r="Z40" s="720"/>
      <c r="AA40" s="831"/>
      <c r="AB40" s="829" t="s">
        <v>141</v>
      </c>
      <c r="AC40" s="830"/>
      <c r="AD40" s="832"/>
      <c r="AE40" s="832"/>
      <c r="AF40" s="832"/>
      <c r="AG40" s="832"/>
      <c r="AH40" s="832"/>
      <c r="AI40" s="832"/>
      <c r="AJ40" s="838"/>
      <c r="AK40" s="829" t="s">
        <v>1511</v>
      </c>
      <c r="AL40" s="830"/>
      <c r="AM40" s="830"/>
      <c r="AN40" s="718"/>
      <c r="AO40" s="840"/>
    </row>
    <row r="41" spans="2:43" s="2" customFormat="1" ht="25.9" customHeight="1" x14ac:dyDescent="0.25">
      <c r="B41" s="767"/>
      <c r="C41" s="768"/>
      <c r="D41" s="773" t="s">
        <v>146</v>
      </c>
      <c r="E41" s="774"/>
      <c r="F41" s="774"/>
      <c r="G41" s="774"/>
      <c r="H41" s="774"/>
      <c r="I41" s="774"/>
      <c r="J41" s="774"/>
      <c r="K41" s="774"/>
      <c r="L41" s="774"/>
      <c r="M41" s="775"/>
      <c r="N41" s="776">
        <f>IF(ISBLANK(T41),0,IF('Project Information'!F15=Measures!B1,X41/T41,IF('Project Information'!F15=Measures!C1,IFERROR(VLOOKUP(AH42,'HVAC Tier 2 Incentive Table'!A46:B48,2,TRUE),0),0)))</f>
        <v>0</v>
      </c>
      <c r="O41" s="777"/>
      <c r="P41" s="777"/>
      <c r="Q41" s="778" t="s">
        <v>140</v>
      </c>
      <c r="R41" s="778"/>
      <c r="S41" s="779"/>
      <c r="T41" s="799"/>
      <c r="U41" s="800"/>
      <c r="V41" s="800"/>
      <c r="W41" s="801"/>
      <c r="X41" s="783"/>
      <c r="Y41" s="784"/>
      <c r="Z41" s="784"/>
      <c r="AA41" s="784"/>
      <c r="AB41" s="784"/>
      <c r="AC41" s="785"/>
      <c r="AD41" s="677" t="str">
        <f>IF(ISBLANK(T41),"",N41*T41)</f>
        <v/>
      </c>
      <c r="AE41" s="678"/>
      <c r="AF41" s="678"/>
      <c r="AG41" s="678"/>
      <c r="AH41" s="678"/>
      <c r="AI41" s="679"/>
      <c r="AJ41" s="677" t="str">
        <f>IF(ISBLANK(T41),"",X41-AD41)</f>
        <v/>
      </c>
      <c r="AK41" s="678"/>
      <c r="AL41" s="678"/>
      <c r="AM41" s="678"/>
      <c r="AN41" s="678"/>
      <c r="AO41" s="786"/>
    </row>
    <row r="42" spans="2:43" s="2" customFormat="1" ht="18" customHeight="1" x14ac:dyDescent="0.25">
      <c r="B42" s="771"/>
      <c r="C42" s="772"/>
      <c r="D42" s="683" t="s">
        <v>1509</v>
      </c>
      <c r="E42" s="684"/>
      <c r="F42" s="684"/>
      <c r="G42" s="684"/>
      <c r="H42" s="676"/>
      <c r="I42" s="676"/>
      <c r="J42" s="676"/>
      <c r="K42" s="682"/>
      <c r="L42" s="683" t="s">
        <v>1510</v>
      </c>
      <c r="M42" s="684"/>
      <c r="N42" s="684"/>
      <c r="O42" s="684"/>
      <c r="P42" s="720"/>
      <c r="Q42" s="720"/>
      <c r="R42" s="720"/>
      <c r="S42" s="720"/>
      <c r="T42" s="831"/>
      <c r="U42" s="836" t="s">
        <v>141</v>
      </c>
      <c r="V42" s="837"/>
      <c r="W42" s="720"/>
      <c r="X42" s="720"/>
      <c r="Y42" s="720"/>
      <c r="Z42" s="720"/>
      <c r="AA42" s="831"/>
      <c r="AB42" s="724" t="s">
        <v>1512</v>
      </c>
      <c r="AC42" s="725"/>
      <c r="AD42" s="725"/>
      <c r="AE42" s="725"/>
      <c r="AF42" s="725"/>
      <c r="AG42" s="725"/>
      <c r="AH42" s="718"/>
      <c r="AI42" s="718"/>
      <c r="AJ42" s="719"/>
      <c r="AK42" s="829" t="s">
        <v>1513</v>
      </c>
      <c r="AL42" s="830"/>
      <c r="AM42" s="830"/>
      <c r="AN42" s="687"/>
      <c r="AO42" s="839"/>
    </row>
    <row r="43" spans="2:43" s="2" customFormat="1" ht="25.9" customHeight="1" x14ac:dyDescent="0.25">
      <c r="B43" s="767"/>
      <c r="C43" s="768"/>
      <c r="D43" s="803" t="s">
        <v>359</v>
      </c>
      <c r="E43" s="804"/>
      <c r="F43" s="804"/>
      <c r="G43" s="804"/>
      <c r="H43" s="804"/>
      <c r="I43" s="804"/>
      <c r="J43" s="804"/>
      <c r="K43" s="804"/>
      <c r="L43" s="804"/>
      <c r="M43" s="805"/>
      <c r="N43" s="776">
        <f>IF(ISBLANK(T43),0,IF(T43=1,IF('Project Information'!F15=Measures!B1,X43,IF('Project Information'!F15=Measures!C1,IFERROR(VLOOKUP(AI44,_xlfn.IFS(D43="Natural Gas Furnace [95% AFUE]",'HVAC Tier 2 Incentive Table'!A3:B7,D43="Natural Gas Boiler [90% AFUE]",'HVAC Tier 2 Incentive Table'!A10:B15,D43="Emergency Furnace",'HVAC Tier 2 Incentive Table'!A17:B22),2,TRUE),0),0))))</f>
        <v>0</v>
      </c>
      <c r="O43" s="777"/>
      <c r="P43" s="777"/>
      <c r="Q43" s="778" t="s">
        <v>140</v>
      </c>
      <c r="R43" s="778"/>
      <c r="S43" s="779"/>
      <c r="T43" s="799"/>
      <c r="U43" s="800"/>
      <c r="V43" s="800"/>
      <c r="W43" s="801"/>
      <c r="X43" s="783"/>
      <c r="Y43" s="784"/>
      <c r="Z43" s="784"/>
      <c r="AA43" s="784"/>
      <c r="AB43" s="784"/>
      <c r="AC43" s="785"/>
      <c r="AD43" s="677" t="str">
        <f>IF(ISBLANK(T43),"",N43*T43)</f>
        <v/>
      </c>
      <c r="AE43" s="678"/>
      <c r="AF43" s="678"/>
      <c r="AG43" s="678"/>
      <c r="AH43" s="678"/>
      <c r="AI43" s="679"/>
      <c r="AJ43" s="677" t="str">
        <f>IF(ISBLANK(T43),"",X43-AD43)</f>
        <v/>
      </c>
      <c r="AK43" s="678"/>
      <c r="AL43" s="678"/>
      <c r="AM43" s="678"/>
      <c r="AN43" s="678"/>
      <c r="AO43" s="786"/>
    </row>
    <row r="44" spans="2:43" s="2" customFormat="1" ht="21.75" customHeight="1" x14ac:dyDescent="0.25">
      <c r="B44" s="771"/>
      <c r="C44" s="772"/>
      <c r="D44" s="680" t="s">
        <v>1510</v>
      </c>
      <c r="E44" s="681"/>
      <c r="F44" s="681"/>
      <c r="G44" s="681"/>
      <c r="H44" s="676"/>
      <c r="I44" s="676"/>
      <c r="J44" s="676"/>
      <c r="K44" s="676"/>
      <c r="L44" s="676"/>
      <c r="M44" s="682"/>
      <c r="N44" s="683" t="s">
        <v>141</v>
      </c>
      <c r="O44" s="684"/>
      <c r="P44" s="676"/>
      <c r="Q44" s="676"/>
      <c r="R44" s="676"/>
      <c r="S44" s="676"/>
      <c r="T44" s="676"/>
      <c r="U44" s="682"/>
      <c r="V44" s="683" t="s">
        <v>1514</v>
      </c>
      <c r="W44" s="684"/>
      <c r="X44" s="685"/>
      <c r="Y44" s="685"/>
      <c r="Z44" s="685"/>
      <c r="AA44" s="686"/>
      <c r="AB44" s="683" t="s">
        <v>1515</v>
      </c>
      <c r="AC44" s="684"/>
      <c r="AD44" s="687"/>
      <c r="AE44" s="688"/>
      <c r="AF44" s="794" t="s">
        <v>1516</v>
      </c>
      <c r="AG44" s="795"/>
      <c r="AH44" s="795"/>
      <c r="AI44" s="718"/>
      <c r="AJ44" s="718"/>
      <c r="AK44" s="719"/>
      <c r="AL44" s="716" t="s">
        <v>151</v>
      </c>
      <c r="AM44" s="717"/>
      <c r="AN44" s="717"/>
      <c r="AO44" s="187"/>
      <c r="AP44" s="185"/>
      <c r="AQ44" s="185"/>
    </row>
    <row r="45" spans="2:43" s="2" customFormat="1" ht="25.9" customHeight="1" x14ac:dyDescent="0.25">
      <c r="B45" s="767"/>
      <c r="C45" s="768"/>
      <c r="D45" s="803" t="s">
        <v>359</v>
      </c>
      <c r="E45" s="804"/>
      <c r="F45" s="804"/>
      <c r="G45" s="804"/>
      <c r="H45" s="804"/>
      <c r="I45" s="804"/>
      <c r="J45" s="804"/>
      <c r="K45" s="804"/>
      <c r="L45" s="804"/>
      <c r="M45" s="805"/>
      <c r="N45" s="776">
        <f>IF(ISBLANK(T45),0,IF(T45=1,IF('Project Information'!F15=Measures!B1,X45,IF('Project Information'!F15=Measures!C1,IFERROR(VLOOKUP(AI46,_xlfn.IFS(D45="Natural Gas Furnace [95% AFUE]",'HVAC Tier 2 Incentive Table'!A3:B7,D45="Natural Gas Boiler [90% AFUE]",'HVAC Tier 2 Incentive Table'!A10:B15,D45="Emergency Furnace",'HVAC Tier 2 Incentive Table'!A17:B22),2,TRUE),0),0))))</f>
        <v>0</v>
      </c>
      <c r="O45" s="777"/>
      <c r="P45" s="777"/>
      <c r="Q45" s="778" t="s">
        <v>140</v>
      </c>
      <c r="R45" s="778"/>
      <c r="S45" s="779"/>
      <c r="T45" s="799"/>
      <c r="U45" s="800"/>
      <c r="V45" s="800"/>
      <c r="W45" s="801"/>
      <c r="X45" s="783"/>
      <c r="Y45" s="784"/>
      <c r="Z45" s="784"/>
      <c r="AA45" s="784"/>
      <c r="AB45" s="784"/>
      <c r="AC45" s="785"/>
      <c r="AD45" s="677" t="str">
        <f>IF(ISBLANK(T45),"",N45*T45)</f>
        <v/>
      </c>
      <c r="AE45" s="678"/>
      <c r="AF45" s="678"/>
      <c r="AG45" s="678"/>
      <c r="AH45" s="678"/>
      <c r="AI45" s="679"/>
      <c r="AJ45" s="677" t="str">
        <f>IF(ISBLANK(T45),"",X45-AD45)</f>
        <v/>
      </c>
      <c r="AK45" s="678"/>
      <c r="AL45" s="678"/>
      <c r="AM45" s="678"/>
      <c r="AN45" s="678"/>
      <c r="AO45" s="786"/>
    </row>
    <row r="46" spans="2:43" s="2" customFormat="1" ht="21.75" customHeight="1" x14ac:dyDescent="0.25">
      <c r="B46" s="771"/>
      <c r="C46" s="772"/>
      <c r="D46" s="680" t="s">
        <v>1510</v>
      </c>
      <c r="E46" s="681"/>
      <c r="F46" s="681"/>
      <c r="G46" s="681"/>
      <c r="H46" s="676"/>
      <c r="I46" s="676"/>
      <c r="J46" s="676"/>
      <c r="K46" s="676"/>
      <c r="L46" s="676"/>
      <c r="M46" s="682"/>
      <c r="N46" s="683" t="s">
        <v>141</v>
      </c>
      <c r="O46" s="684"/>
      <c r="P46" s="676"/>
      <c r="Q46" s="676"/>
      <c r="R46" s="676"/>
      <c r="S46" s="676"/>
      <c r="T46" s="676"/>
      <c r="U46" s="682"/>
      <c r="V46" s="683" t="s">
        <v>1514</v>
      </c>
      <c r="W46" s="684"/>
      <c r="X46" s="685"/>
      <c r="Y46" s="685"/>
      <c r="Z46" s="685"/>
      <c r="AA46" s="686"/>
      <c r="AB46" s="683" t="s">
        <v>1515</v>
      </c>
      <c r="AC46" s="684"/>
      <c r="AD46" s="687"/>
      <c r="AE46" s="688"/>
      <c r="AF46" s="794" t="s">
        <v>1516</v>
      </c>
      <c r="AG46" s="795"/>
      <c r="AH46" s="795"/>
      <c r="AI46" s="718"/>
      <c r="AJ46" s="718"/>
      <c r="AK46" s="719"/>
      <c r="AL46" s="716" t="s">
        <v>151</v>
      </c>
      <c r="AM46" s="717"/>
      <c r="AN46" s="717"/>
      <c r="AO46" s="187"/>
    </row>
    <row r="47" spans="2:43" s="2" customFormat="1" ht="25.9" customHeight="1" x14ac:dyDescent="0.25">
      <c r="B47" s="767"/>
      <c r="C47" s="768"/>
      <c r="D47" s="803" t="s">
        <v>1707</v>
      </c>
      <c r="E47" s="804"/>
      <c r="F47" s="804"/>
      <c r="G47" s="804"/>
      <c r="H47" s="804"/>
      <c r="I47" s="804"/>
      <c r="J47" s="804"/>
      <c r="K47" s="804"/>
      <c r="L47" s="804"/>
      <c r="M47" s="805"/>
      <c r="N47" s="841">
        <f>IF(ISBLANK(T47),0,IF(T47=1,IF('Project Information'!F15=Measures!B1,X47,IF('Project Information'!F15=Measures!C1,X47*0.9,0))))</f>
        <v>0</v>
      </c>
      <c r="O47" s="842"/>
      <c r="P47" s="842"/>
      <c r="Q47" s="778" t="s">
        <v>140</v>
      </c>
      <c r="R47" s="778"/>
      <c r="S47" s="779"/>
      <c r="T47" s="799"/>
      <c r="U47" s="800"/>
      <c r="V47" s="800"/>
      <c r="W47" s="801"/>
      <c r="X47" s="783"/>
      <c r="Y47" s="784"/>
      <c r="Z47" s="784"/>
      <c r="AA47" s="784"/>
      <c r="AB47" s="784"/>
      <c r="AC47" s="785"/>
      <c r="AD47" s="677" t="str">
        <f>IF(ISBLANK(T47),"",N47*T47)</f>
        <v/>
      </c>
      <c r="AE47" s="678"/>
      <c r="AF47" s="678"/>
      <c r="AG47" s="678"/>
      <c r="AH47" s="678"/>
      <c r="AI47" s="679"/>
      <c r="AJ47" s="677" t="str">
        <f>IF(ISBLANK(T47),"",X47-AD47)</f>
        <v/>
      </c>
      <c r="AK47" s="678"/>
      <c r="AL47" s="678"/>
      <c r="AM47" s="678"/>
      <c r="AN47" s="678"/>
      <c r="AO47" s="786"/>
    </row>
    <row r="48" spans="2:43" s="2" customFormat="1" ht="18" customHeight="1" x14ac:dyDescent="0.25">
      <c r="B48" s="769"/>
      <c r="C48" s="770"/>
      <c r="D48" s="680" t="s">
        <v>1510</v>
      </c>
      <c r="E48" s="681"/>
      <c r="F48" s="681"/>
      <c r="G48" s="681"/>
      <c r="H48" s="676"/>
      <c r="I48" s="676"/>
      <c r="J48" s="676"/>
      <c r="K48" s="676"/>
      <c r="L48" s="676"/>
      <c r="M48" s="682"/>
      <c r="N48" s="683" t="s">
        <v>141</v>
      </c>
      <c r="O48" s="684"/>
      <c r="P48" s="676"/>
      <c r="Q48" s="676"/>
      <c r="R48" s="676"/>
      <c r="S48" s="676"/>
      <c r="T48" s="676"/>
      <c r="U48" s="682"/>
      <c r="V48" s="683" t="s">
        <v>1514</v>
      </c>
      <c r="W48" s="684"/>
      <c r="X48" s="685"/>
      <c r="Y48" s="685"/>
      <c r="Z48" s="685"/>
      <c r="AA48" s="686"/>
      <c r="AB48" s="683" t="s">
        <v>1517</v>
      </c>
      <c r="AC48" s="684"/>
      <c r="AD48" s="687"/>
      <c r="AE48" s="687"/>
      <c r="AF48" s="688"/>
      <c r="AG48" s="794" t="s">
        <v>1518</v>
      </c>
      <c r="AH48" s="795"/>
      <c r="AI48" s="906"/>
      <c r="AJ48" s="906"/>
      <c r="AK48" s="907"/>
      <c r="AL48" s="908" t="s">
        <v>1519</v>
      </c>
      <c r="AM48" s="909"/>
      <c r="AN48" s="906"/>
      <c r="AO48" s="910"/>
    </row>
    <row r="49" spans="2:46" s="2" customFormat="1" ht="18" customHeight="1" x14ac:dyDescent="0.25">
      <c r="B49" s="771"/>
      <c r="C49" s="772"/>
      <c r="D49" s="674" t="s">
        <v>1499</v>
      </c>
      <c r="E49" s="675"/>
      <c r="F49" s="675"/>
      <c r="G49" s="675"/>
      <c r="H49" s="675"/>
      <c r="I49" s="675"/>
      <c r="J49" s="708"/>
      <c r="K49" s="708"/>
      <c r="L49" s="708"/>
      <c r="M49" s="709"/>
      <c r="N49" s="675" t="s">
        <v>1500</v>
      </c>
      <c r="O49" s="675"/>
      <c r="P49" s="675"/>
      <c r="Q49" s="675"/>
      <c r="R49" s="675"/>
      <c r="S49" s="675"/>
      <c r="T49" s="675"/>
      <c r="U49" s="675"/>
      <c r="V49" s="708"/>
      <c r="W49" s="708"/>
      <c r="X49" s="708"/>
      <c r="Y49" s="708"/>
      <c r="Z49" s="674" t="s">
        <v>1711</v>
      </c>
      <c r="AA49" s="675"/>
      <c r="AB49" s="675"/>
      <c r="AC49" s="675"/>
      <c r="AD49" s="541"/>
      <c r="AE49" s="674" t="s">
        <v>1766</v>
      </c>
      <c r="AF49" s="675"/>
      <c r="AG49" s="675"/>
      <c r="AH49" s="675"/>
      <c r="AI49" s="675"/>
      <c r="AJ49" s="675"/>
      <c r="AK49" s="676"/>
      <c r="AL49" s="676"/>
      <c r="AM49" s="676"/>
      <c r="AN49" s="676"/>
      <c r="AO49" s="523"/>
      <c r="AP49" s="525"/>
      <c r="AQ49" s="185"/>
      <c r="AR49" s="185"/>
      <c r="AS49" s="185"/>
      <c r="AT49" s="185"/>
    </row>
    <row r="50" spans="2:46" s="2" customFormat="1" ht="25.9" customHeight="1" x14ac:dyDescent="0.25">
      <c r="B50" s="767"/>
      <c r="C50" s="768"/>
      <c r="D50" s="803" t="s">
        <v>1708</v>
      </c>
      <c r="E50" s="804"/>
      <c r="F50" s="804"/>
      <c r="G50" s="804"/>
      <c r="H50" s="804"/>
      <c r="I50" s="804"/>
      <c r="J50" s="804"/>
      <c r="K50" s="804"/>
      <c r="L50" s="804"/>
      <c r="M50" s="805"/>
      <c r="N50" s="841">
        <f>IF(ISBLANK(T50),0,IF(T50=1,IF('Project Information'!F15=Measures!B1,X50,IF('Project Information'!F15=Measures!C1,X50*0.9,0))))</f>
        <v>0</v>
      </c>
      <c r="O50" s="842"/>
      <c r="P50" s="842"/>
      <c r="Q50" s="778" t="s">
        <v>140</v>
      </c>
      <c r="R50" s="778"/>
      <c r="S50" s="779"/>
      <c r="T50" s="799"/>
      <c r="U50" s="800"/>
      <c r="V50" s="800"/>
      <c r="W50" s="801"/>
      <c r="X50" s="783"/>
      <c r="Y50" s="784"/>
      <c r="Z50" s="784"/>
      <c r="AA50" s="784"/>
      <c r="AB50" s="784"/>
      <c r="AC50" s="785"/>
      <c r="AD50" s="677" t="str">
        <f>IF(ISBLANK(T50),"",N50*T50)</f>
        <v/>
      </c>
      <c r="AE50" s="678"/>
      <c r="AF50" s="678"/>
      <c r="AG50" s="678"/>
      <c r="AH50" s="678"/>
      <c r="AI50" s="679"/>
      <c r="AJ50" s="677" t="str">
        <f>IF(ISBLANK(T50),"",X50-AD50)</f>
        <v/>
      </c>
      <c r="AK50" s="678"/>
      <c r="AL50" s="678"/>
      <c r="AM50" s="678"/>
      <c r="AN50" s="678"/>
      <c r="AO50" s="678"/>
      <c r="AP50" s="526"/>
    </row>
    <row r="51" spans="2:46" s="2" customFormat="1" ht="18" customHeight="1" x14ac:dyDescent="0.25">
      <c r="B51" s="769"/>
      <c r="C51" s="770"/>
      <c r="D51" s="680" t="s">
        <v>1510</v>
      </c>
      <c r="E51" s="681"/>
      <c r="F51" s="681"/>
      <c r="G51" s="681"/>
      <c r="H51" s="676"/>
      <c r="I51" s="676"/>
      <c r="J51" s="676"/>
      <c r="K51" s="676"/>
      <c r="L51" s="676"/>
      <c r="M51" s="682"/>
      <c r="N51" s="683" t="s">
        <v>141</v>
      </c>
      <c r="O51" s="684"/>
      <c r="P51" s="676"/>
      <c r="Q51" s="676"/>
      <c r="R51" s="676"/>
      <c r="S51" s="676"/>
      <c r="T51" s="676"/>
      <c r="U51" s="682"/>
      <c r="V51" s="683" t="s">
        <v>1514</v>
      </c>
      <c r="W51" s="684"/>
      <c r="X51" s="685"/>
      <c r="Y51" s="685"/>
      <c r="Z51" s="685"/>
      <c r="AA51" s="686"/>
      <c r="AB51" s="683" t="s">
        <v>1517</v>
      </c>
      <c r="AC51" s="684"/>
      <c r="AD51" s="687"/>
      <c r="AE51" s="687"/>
      <c r="AF51" s="688"/>
      <c r="AG51" s="794" t="s">
        <v>1518</v>
      </c>
      <c r="AH51" s="795"/>
      <c r="AI51" s="906"/>
      <c r="AJ51" s="906"/>
      <c r="AK51" s="907"/>
      <c r="AL51" s="908" t="s">
        <v>1519</v>
      </c>
      <c r="AM51" s="909"/>
      <c r="AN51" s="906"/>
      <c r="AO51" s="906"/>
      <c r="AP51" s="526"/>
    </row>
    <row r="52" spans="2:46" s="2" customFormat="1" ht="18" customHeight="1" thickBot="1" x14ac:dyDescent="0.3">
      <c r="B52" s="817"/>
      <c r="C52" s="818"/>
      <c r="D52" s="674" t="s">
        <v>1499</v>
      </c>
      <c r="E52" s="675"/>
      <c r="F52" s="675"/>
      <c r="G52" s="675"/>
      <c r="H52" s="675"/>
      <c r="I52" s="675"/>
      <c r="J52" s="708"/>
      <c r="K52" s="708"/>
      <c r="L52" s="708"/>
      <c r="M52" s="709"/>
      <c r="N52" s="675" t="s">
        <v>1500</v>
      </c>
      <c r="O52" s="675"/>
      <c r="P52" s="675"/>
      <c r="Q52" s="675"/>
      <c r="R52" s="675"/>
      <c r="S52" s="675"/>
      <c r="T52" s="675"/>
      <c r="U52" s="675"/>
      <c r="V52" s="708"/>
      <c r="W52" s="708"/>
      <c r="X52" s="708"/>
      <c r="Y52" s="708"/>
      <c r="Z52" s="674" t="s">
        <v>1711</v>
      </c>
      <c r="AA52" s="675"/>
      <c r="AB52" s="675"/>
      <c r="AC52" s="675"/>
      <c r="AD52" s="541"/>
      <c r="AE52" s="674" t="s">
        <v>1766</v>
      </c>
      <c r="AF52" s="675"/>
      <c r="AG52" s="675"/>
      <c r="AH52" s="675"/>
      <c r="AI52" s="675"/>
      <c r="AJ52" s="675"/>
      <c r="AK52" s="676"/>
      <c r="AL52" s="676"/>
      <c r="AM52" s="676"/>
      <c r="AN52" s="676"/>
      <c r="AO52" s="523"/>
      <c r="AP52" s="526"/>
    </row>
    <row r="53" spans="2:46" s="2" customFormat="1" ht="18" customHeight="1" thickTop="1" thickBot="1" x14ac:dyDescent="0.3">
      <c r="B53" s="819" t="s">
        <v>173</v>
      </c>
      <c r="C53" s="820"/>
      <c r="D53" s="820"/>
      <c r="E53" s="820"/>
      <c r="F53" s="820"/>
      <c r="G53" s="820"/>
      <c r="H53" s="820"/>
      <c r="I53" s="820"/>
      <c r="J53" s="820"/>
      <c r="K53" s="820"/>
      <c r="L53" s="820"/>
      <c r="M53" s="820"/>
      <c r="N53" s="820"/>
      <c r="O53" s="820"/>
      <c r="P53" s="820"/>
      <c r="Q53" s="820"/>
      <c r="R53" s="820"/>
      <c r="S53" s="820"/>
      <c r="T53" s="820"/>
      <c r="U53" s="820"/>
      <c r="V53" s="820"/>
      <c r="W53" s="821"/>
      <c r="X53" s="822">
        <f>X35+X37+X39+X41+X43+X45+X47+X50</f>
        <v>0</v>
      </c>
      <c r="Y53" s="823"/>
      <c r="Z53" s="823"/>
      <c r="AA53" s="823"/>
      <c r="AB53" s="823"/>
      <c r="AC53" s="824"/>
      <c r="AD53" s="825">
        <f>SUM(IF(AD35="",0,AD35)+IF(AD37="",0,AD37)+IF(AD39="",0,AD39)+IF(AD41="",0,AD41)+IF(AD43="",0,AD43)+IF(AD45="",0,AD45)+IF(AD47="",0,AD47)+IF(AD50="",0,AD50))</f>
        <v>0</v>
      </c>
      <c r="AE53" s="826"/>
      <c r="AF53" s="826"/>
      <c r="AG53" s="826"/>
      <c r="AH53" s="826"/>
      <c r="AI53" s="827"/>
      <c r="AJ53" s="825">
        <f>SUM(IF(AJ35="",0,AJ35)+IF(AJ37="",0,AJ37)+IF(AJ39="",0,AJ39)+IF(AJ41="",0,AJ41)+IF(AJ43="",0,AJ43)+IF(AJ45="",0,AJ45)+IF(AJ47="",0,AJ47)+IF(AJ50="",0,AJ50))</f>
        <v>0</v>
      </c>
      <c r="AK53" s="826"/>
      <c r="AL53" s="826"/>
      <c r="AM53" s="826"/>
      <c r="AN53" s="826"/>
      <c r="AO53" s="828"/>
    </row>
    <row r="54" spans="2:46" s="2" customFormat="1" ht="3.6" customHeight="1" thickBot="1" x14ac:dyDescent="0.3">
      <c r="B54" s="843"/>
      <c r="C54" s="843"/>
      <c r="D54" s="843"/>
      <c r="E54" s="843"/>
      <c r="F54" s="843"/>
      <c r="G54" s="843"/>
      <c r="H54" s="843"/>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3"/>
      <c r="AJ54" s="843"/>
      <c r="AK54" s="843"/>
      <c r="AL54" s="843"/>
      <c r="AM54" s="843"/>
      <c r="AN54" s="843"/>
      <c r="AO54" s="843"/>
    </row>
    <row r="55" spans="2:46" ht="21.75" customHeight="1" x14ac:dyDescent="0.25">
      <c r="B55" s="589" t="s">
        <v>186</v>
      </c>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1"/>
    </row>
    <row r="56" spans="2:46" ht="30" customHeight="1" x14ac:dyDescent="0.25">
      <c r="B56" s="760" t="s">
        <v>104</v>
      </c>
      <c r="C56" s="761"/>
      <c r="D56" s="762" t="s">
        <v>162</v>
      </c>
      <c r="E56" s="763"/>
      <c r="F56" s="763"/>
      <c r="G56" s="763"/>
      <c r="H56" s="763"/>
      <c r="I56" s="763"/>
      <c r="J56" s="763"/>
      <c r="K56" s="763"/>
      <c r="L56" s="763"/>
      <c r="M56" s="763"/>
      <c r="N56" s="763"/>
      <c r="O56" s="763"/>
      <c r="P56" s="763"/>
      <c r="Q56" s="763"/>
      <c r="R56" s="763"/>
      <c r="S56" s="763"/>
      <c r="T56" s="763"/>
      <c r="U56" s="763"/>
      <c r="V56" s="763"/>
      <c r="W56" s="763"/>
      <c r="X56" s="763"/>
      <c r="Y56" s="763"/>
      <c r="Z56" s="763"/>
      <c r="AA56" s="764"/>
      <c r="AB56" s="762" t="s">
        <v>449</v>
      </c>
      <c r="AC56" s="764"/>
      <c r="AD56" s="762" t="s">
        <v>108</v>
      </c>
      <c r="AE56" s="763"/>
      <c r="AF56" s="763"/>
      <c r="AG56" s="764"/>
      <c r="AH56" s="762" t="s">
        <v>448</v>
      </c>
      <c r="AI56" s="763"/>
      <c r="AJ56" s="763"/>
      <c r="AK56" s="764"/>
      <c r="AL56" s="765" t="s">
        <v>450</v>
      </c>
      <c r="AM56" s="766"/>
      <c r="AN56" s="766"/>
      <c r="AO56" s="787"/>
    </row>
    <row r="57" spans="2:46" ht="16.149999999999999" customHeight="1" x14ac:dyDescent="0.25">
      <c r="B57" s="694"/>
      <c r="C57" s="695"/>
      <c r="D57" s="699"/>
      <c r="E57" s="700"/>
      <c r="F57" s="700"/>
      <c r="G57" s="700"/>
      <c r="H57" s="700"/>
      <c r="I57" s="700"/>
      <c r="J57" s="700"/>
      <c r="K57" s="700"/>
      <c r="L57" s="700"/>
      <c r="M57" s="700"/>
      <c r="N57" s="700"/>
      <c r="O57" s="700"/>
      <c r="P57" s="700"/>
      <c r="Q57" s="700"/>
      <c r="R57" s="700"/>
      <c r="S57" s="700"/>
      <c r="T57" s="700"/>
      <c r="U57" s="700"/>
      <c r="V57" s="700"/>
      <c r="W57" s="700"/>
      <c r="X57" s="700"/>
      <c r="Y57" s="700"/>
      <c r="Z57" s="700"/>
      <c r="AA57" s="701"/>
      <c r="AB57" s="702"/>
      <c r="AC57" s="703"/>
      <c r="AD57" s="704"/>
      <c r="AE57" s="705"/>
      <c r="AF57" s="705"/>
      <c r="AG57" s="706"/>
      <c r="AH57" s="696" t="str">
        <f>IF(ISBLANK(AD57),"",IF('Project Information'!$F$15=Measures!$B$1,'Work Scope'!AD57,IF('Project Information'!$F$15=Measures!$C$1,'Work Scope'!AD57*0.9,0)))</f>
        <v/>
      </c>
      <c r="AI57" s="697"/>
      <c r="AJ57" s="697"/>
      <c r="AK57" s="707"/>
      <c r="AL57" s="696" t="str">
        <f t="shared" ref="AL57:AL65" si="0">IF(ISBLANK(AD57),"",AD57-AH57)</f>
        <v/>
      </c>
      <c r="AM57" s="697"/>
      <c r="AN57" s="697"/>
      <c r="AO57" s="698"/>
    </row>
    <row r="58" spans="2:46" ht="16.149999999999999" customHeight="1" x14ac:dyDescent="0.25">
      <c r="B58" s="694"/>
      <c r="C58" s="695"/>
      <c r="D58" s="699"/>
      <c r="E58" s="700"/>
      <c r="F58" s="700"/>
      <c r="G58" s="700"/>
      <c r="H58" s="700"/>
      <c r="I58" s="700"/>
      <c r="J58" s="700"/>
      <c r="K58" s="700"/>
      <c r="L58" s="700"/>
      <c r="M58" s="700"/>
      <c r="N58" s="700"/>
      <c r="O58" s="700"/>
      <c r="P58" s="700"/>
      <c r="Q58" s="700"/>
      <c r="R58" s="700"/>
      <c r="S58" s="700"/>
      <c r="T58" s="700"/>
      <c r="U58" s="700"/>
      <c r="V58" s="700"/>
      <c r="W58" s="700"/>
      <c r="X58" s="700"/>
      <c r="Y58" s="700"/>
      <c r="Z58" s="700"/>
      <c r="AA58" s="701"/>
      <c r="AB58" s="702"/>
      <c r="AC58" s="703"/>
      <c r="AD58" s="704"/>
      <c r="AE58" s="705"/>
      <c r="AF58" s="705"/>
      <c r="AG58" s="706"/>
      <c r="AH58" s="696" t="str">
        <f>IF(ISBLANK(AD58),"",IF('Project Information'!$F$15=Measures!$B$1,'Work Scope'!AD58,IF('Project Information'!$F$15=Measures!$C$1,'Work Scope'!AD58*0.9,0)))</f>
        <v/>
      </c>
      <c r="AI58" s="697"/>
      <c r="AJ58" s="697"/>
      <c r="AK58" s="707"/>
      <c r="AL58" s="696" t="str">
        <f t="shared" si="0"/>
        <v/>
      </c>
      <c r="AM58" s="697"/>
      <c r="AN58" s="697"/>
      <c r="AO58" s="698"/>
    </row>
    <row r="59" spans="2:46" ht="16.149999999999999" customHeight="1" x14ac:dyDescent="0.25">
      <c r="B59" s="694"/>
      <c r="C59" s="695"/>
      <c r="D59" s="699"/>
      <c r="E59" s="700"/>
      <c r="F59" s="700"/>
      <c r="G59" s="700"/>
      <c r="H59" s="700"/>
      <c r="I59" s="700"/>
      <c r="J59" s="700"/>
      <c r="K59" s="700"/>
      <c r="L59" s="700"/>
      <c r="M59" s="700"/>
      <c r="N59" s="700"/>
      <c r="O59" s="700"/>
      <c r="P59" s="700"/>
      <c r="Q59" s="700"/>
      <c r="R59" s="700"/>
      <c r="S59" s="700"/>
      <c r="T59" s="700"/>
      <c r="U59" s="700"/>
      <c r="V59" s="700"/>
      <c r="W59" s="700"/>
      <c r="X59" s="700"/>
      <c r="Y59" s="700"/>
      <c r="Z59" s="700"/>
      <c r="AA59" s="701"/>
      <c r="AB59" s="702"/>
      <c r="AC59" s="703"/>
      <c r="AD59" s="704"/>
      <c r="AE59" s="705"/>
      <c r="AF59" s="705"/>
      <c r="AG59" s="706"/>
      <c r="AH59" s="696" t="str">
        <f>IF(ISBLANK(AD59),"",IF('Project Information'!$F$15=Measures!$B$1,'Work Scope'!AD59,IF('Project Information'!$F$15=Measures!$C$1,'Work Scope'!AD59*0.9,0)))</f>
        <v/>
      </c>
      <c r="AI59" s="697"/>
      <c r="AJ59" s="697"/>
      <c r="AK59" s="707"/>
      <c r="AL59" s="696" t="str">
        <f t="shared" si="0"/>
        <v/>
      </c>
      <c r="AM59" s="697"/>
      <c r="AN59" s="697"/>
      <c r="AO59" s="698"/>
    </row>
    <row r="60" spans="2:46" ht="16.149999999999999" customHeight="1" x14ac:dyDescent="0.25">
      <c r="B60" s="694"/>
      <c r="C60" s="695"/>
      <c r="D60" s="699"/>
      <c r="E60" s="700"/>
      <c r="F60" s="700"/>
      <c r="G60" s="700"/>
      <c r="H60" s="700"/>
      <c r="I60" s="700"/>
      <c r="J60" s="700"/>
      <c r="K60" s="700"/>
      <c r="L60" s="700"/>
      <c r="M60" s="700"/>
      <c r="N60" s="700"/>
      <c r="O60" s="700"/>
      <c r="P60" s="700"/>
      <c r="Q60" s="700"/>
      <c r="R60" s="700"/>
      <c r="S60" s="700"/>
      <c r="T60" s="700"/>
      <c r="U60" s="700"/>
      <c r="V60" s="700"/>
      <c r="W60" s="700"/>
      <c r="X60" s="700"/>
      <c r="Y60" s="700"/>
      <c r="Z60" s="700"/>
      <c r="AA60" s="701"/>
      <c r="AB60" s="702"/>
      <c r="AC60" s="703"/>
      <c r="AD60" s="704"/>
      <c r="AE60" s="705"/>
      <c r="AF60" s="705"/>
      <c r="AG60" s="706"/>
      <c r="AH60" s="696" t="str">
        <f>IF(ISBLANK(AD60),"",IF('Project Information'!$F$15=Measures!$B$1,'Work Scope'!AD60,IF('Project Information'!$F$15=Measures!$C$1,'Work Scope'!AD60*0.9,0)))</f>
        <v/>
      </c>
      <c r="AI60" s="697"/>
      <c r="AJ60" s="697"/>
      <c r="AK60" s="707"/>
      <c r="AL60" s="696" t="str">
        <f t="shared" si="0"/>
        <v/>
      </c>
      <c r="AM60" s="697"/>
      <c r="AN60" s="697"/>
      <c r="AO60" s="698"/>
    </row>
    <row r="61" spans="2:46" ht="16.149999999999999" customHeight="1" x14ac:dyDescent="0.25">
      <c r="B61" s="694"/>
      <c r="C61" s="695"/>
      <c r="D61" s="699"/>
      <c r="E61" s="700"/>
      <c r="F61" s="700"/>
      <c r="G61" s="700"/>
      <c r="H61" s="700"/>
      <c r="I61" s="700"/>
      <c r="J61" s="700"/>
      <c r="K61" s="700"/>
      <c r="L61" s="700"/>
      <c r="M61" s="700"/>
      <c r="N61" s="700"/>
      <c r="O61" s="700"/>
      <c r="P61" s="700"/>
      <c r="Q61" s="700"/>
      <c r="R61" s="700"/>
      <c r="S61" s="700"/>
      <c r="T61" s="700"/>
      <c r="U61" s="700"/>
      <c r="V61" s="700"/>
      <c r="W61" s="700"/>
      <c r="X61" s="700"/>
      <c r="Y61" s="700"/>
      <c r="Z61" s="700"/>
      <c r="AA61" s="701"/>
      <c r="AB61" s="702"/>
      <c r="AC61" s="703"/>
      <c r="AD61" s="704"/>
      <c r="AE61" s="705"/>
      <c r="AF61" s="705"/>
      <c r="AG61" s="706"/>
      <c r="AH61" s="696" t="str">
        <f>IF(ISBLANK(AD61),"",IF('Project Information'!$F$15=Measures!$B$1,'Work Scope'!AD61,IF('Project Information'!$F$15=Measures!$C$1,'Work Scope'!AD61*0.9,0)))</f>
        <v/>
      </c>
      <c r="AI61" s="697"/>
      <c r="AJ61" s="697"/>
      <c r="AK61" s="707"/>
      <c r="AL61" s="696" t="str">
        <f t="shared" si="0"/>
        <v/>
      </c>
      <c r="AM61" s="697"/>
      <c r="AN61" s="697"/>
      <c r="AO61" s="698"/>
    </row>
    <row r="62" spans="2:46" ht="16.149999999999999" customHeight="1" x14ac:dyDescent="0.25">
      <c r="B62" s="694"/>
      <c r="C62" s="695"/>
      <c r="D62" s="699"/>
      <c r="E62" s="700"/>
      <c r="F62" s="700"/>
      <c r="G62" s="700"/>
      <c r="H62" s="700"/>
      <c r="I62" s="700"/>
      <c r="J62" s="700"/>
      <c r="K62" s="700"/>
      <c r="L62" s="700"/>
      <c r="M62" s="700"/>
      <c r="N62" s="700"/>
      <c r="O62" s="700"/>
      <c r="P62" s="700"/>
      <c r="Q62" s="700"/>
      <c r="R62" s="700"/>
      <c r="S62" s="700"/>
      <c r="T62" s="700"/>
      <c r="U62" s="700"/>
      <c r="V62" s="700"/>
      <c r="W62" s="700"/>
      <c r="X62" s="700"/>
      <c r="Y62" s="700"/>
      <c r="Z62" s="700"/>
      <c r="AA62" s="701"/>
      <c r="AB62" s="702"/>
      <c r="AC62" s="703"/>
      <c r="AD62" s="704"/>
      <c r="AE62" s="705"/>
      <c r="AF62" s="705"/>
      <c r="AG62" s="706"/>
      <c r="AH62" s="696" t="str">
        <f>IF(ISBLANK(AD62),"",IF('Project Information'!$F$15=Measures!$B$1,'Work Scope'!AD62,IF('Project Information'!$F$15=Measures!$C$1,'Work Scope'!AD62*0.9,0)))</f>
        <v/>
      </c>
      <c r="AI62" s="697"/>
      <c r="AJ62" s="697"/>
      <c r="AK62" s="707"/>
      <c r="AL62" s="696" t="str">
        <f t="shared" si="0"/>
        <v/>
      </c>
      <c r="AM62" s="697"/>
      <c r="AN62" s="697"/>
      <c r="AO62" s="698"/>
    </row>
    <row r="63" spans="2:46" ht="16.149999999999999" customHeight="1" x14ac:dyDescent="0.25">
      <c r="B63" s="694"/>
      <c r="C63" s="695"/>
      <c r="D63" s="699"/>
      <c r="E63" s="700"/>
      <c r="F63" s="700"/>
      <c r="G63" s="700"/>
      <c r="H63" s="700"/>
      <c r="I63" s="700"/>
      <c r="J63" s="700"/>
      <c r="K63" s="700"/>
      <c r="L63" s="700"/>
      <c r="M63" s="700"/>
      <c r="N63" s="700"/>
      <c r="O63" s="700"/>
      <c r="P63" s="700"/>
      <c r="Q63" s="700"/>
      <c r="R63" s="700"/>
      <c r="S63" s="700"/>
      <c r="T63" s="700"/>
      <c r="U63" s="700"/>
      <c r="V63" s="700"/>
      <c r="W63" s="700"/>
      <c r="X63" s="700"/>
      <c r="Y63" s="700"/>
      <c r="Z63" s="700"/>
      <c r="AA63" s="701"/>
      <c r="AB63" s="702"/>
      <c r="AC63" s="703"/>
      <c r="AD63" s="704"/>
      <c r="AE63" s="705"/>
      <c r="AF63" s="705"/>
      <c r="AG63" s="706"/>
      <c r="AH63" s="696" t="str">
        <f>IF(ISBLANK(AD63),"",IF('Project Information'!$F$15=Measures!$B$1,'Work Scope'!AD63,IF('Project Information'!$F$15=Measures!$C$1,'Work Scope'!AD63*0.9,0)))</f>
        <v/>
      </c>
      <c r="AI63" s="697"/>
      <c r="AJ63" s="697"/>
      <c r="AK63" s="707"/>
      <c r="AL63" s="696" t="str">
        <f t="shared" si="0"/>
        <v/>
      </c>
      <c r="AM63" s="697"/>
      <c r="AN63" s="697"/>
      <c r="AO63" s="698"/>
    </row>
    <row r="64" spans="2:46" ht="16.149999999999999" customHeight="1" x14ac:dyDescent="0.25">
      <c r="B64" s="694"/>
      <c r="C64" s="695"/>
      <c r="D64" s="699"/>
      <c r="E64" s="700"/>
      <c r="F64" s="700"/>
      <c r="G64" s="700"/>
      <c r="H64" s="700"/>
      <c r="I64" s="700"/>
      <c r="J64" s="700"/>
      <c r="K64" s="700"/>
      <c r="L64" s="700"/>
      <c r="M64" s="700"/>
      <c r="N64" s="700"/>
      <c r="O64" s="700"/>
      <c r="P64" s="700"/>
      <c r="Q64" s="700"/>
      <c r="R64" s="700"/>
      <c r="S64" s="700"/>
      <c r="T64" s="700"/>
      <c r="U64" s="700"/>
      <c r="V64" s="700"/>
      <c r="W64" s="700"/>
      <c r="X64" s="700"/>
      <c r="Y64" s="700"/>
      <c r="Z64" s="700"/>
      <c r="AA64" s="701"/>
      <c r="AB64" s="702"/>
      <c r="AC64" s="703"/>
      <c r="AD64" s="704"/>
      <c r="AE64" s="705"/>
      <c r="AF64" s="705"/>
      <c r="AG64" s="706"/>
      <c r="AH64" s="696" t="str">
        <f>IF(ISBLANK(AD64),"",IF('Project Information'!$F$15=Measures!$B$1,'Work Scope'!AD64,IF('Project Information'!$F$15=Measures!$C$1,'Work Scope'!AD64*0.9,0)))</f>
        <v/>
      </c>
      <c r="AI64" s="697"/>
      <c r="AJ64" s="697"/>
      <c r="AK64" s="707"/>
      <c r="AL64" s="696" t="str">
        <f t="shared" si="0"/>
        <v/>
      </c>
      <c r="AM64" s="697"/>
      <c r="AN64" s="697"/>
      <c r="AO64" s="698"/>
    </row>
    <row r="65" spans="2:41" ht="16.149999999999999" customHeight="1" thickBot="1" x14ac:dyDescent="0.3">
      <c r="B65" s="741"/>
      <c r="C65" s="742"/>
      <c r="D65" s="911"/>
      <c r="E65" s="912"/>
      <c r="F65" s="912"/>
      <c r="G65" s="912"/>
      <c r="H65" s="912"/>
      <c r="I65" s="912"/>
      <c r="J65" s="912"/>
      <c r="K65" s="912"/>
      <c r="L65" s="912"/>
      <c r="M65" s="912"/>
      <c r="N65" s="912"/>
      <c r="O65" s="912"/>
      <c r="P65" s="912"/>
      <c r="Q65" s="912"/>
      <c r="R65" s="912"/>
      <c r="S65" s="912"/>
      <c r="T65" s="912"/>
      <c r="U65" s="912"/>
      <c r="V65" s="912"/>
      <c r="W65" s="912"/>
      <c r="X65" s="912"/>
      <c r="Y65" s="912"/>
      <c r="Z65" s="912"/>
      <c r="AA65" s="913"/>
      <c r="AB65" s="914"/>
      <c r="AC65" s="915"/>
      <c r="AD65" s="916"/>
      <c r="AE65" s="917"/>
      <c r="AF65" s="917"/>
      <c r="AG65" s="918"/>
      <c r="AH65" s="919" t="str">
        <f>IF(ISBLANK(AD65),"",IF('Project Information'!$F$15=Measures!$B$1,'Work Scope'!AD65,IF('Project Information'!$F$15=Measures!$C$1,'Work Scope'!AD65*0.9,0)))</f>
        <v/>
      </c>
      <c r="AI65" s="920"/>
      <c r="AJ65" s="920"/>
      <c r="AK65" s="921"/>
      <c r="AL65" s="919" t="str">
        <f t="shared" si="0"/>
        <v/>
      </c>
      <c r="AM65" s="920"/>
      <c r="AN65" s="920"/>
      <c r="AO65" s="922"/>
    </row>
    <row r="66" spans="2:41" ht="18" customHeight="1" thickTop="1" thickBot="1" x14ac:dyDescent="0.3">
      <c r="B66" s="923" t="s">
        <v>452</v>
      </c>
      <c r="C66" s="924"/>
      <c r="D66" s="924"/>
      <c r="E66" s="924"/>
      <c r="F66" s="924"/>
      <c r="G66" s="924"/>
      <c r="H66" s="924"/>
      <c r="I66" s="924"/>
      <c r="J66" s="924"/>
      <c r="K66" s="924"/>
      <c r="L66" s="924"/>
      <c r="M66" s="924"/>
      <c r="N66" s="924"/>
      <c r="O66" s="924"/>
      <c r="P66" s="924"/>
      <c r="Q66" s="924"/>
      <c r="R66" s="924"/>
      <c r="S66" s="924"/>
      <c r="T66" s="924"/>
      <c r="U66" s="924"/>
      <c r="V66" s="924"/>
      <c r="W66" s="924"/>
      <c r="X66" s="924"/>
      <c r="Y66" s="924"/>
      <c r="Z66" s="924"/>
      <c r="AA66" s="924"/>
      <c r="AB66" s="924"/>
      <c r="AC66" s="925"/>
      <c r="AD66" s="822">
        <f>SUM(AD57:AG65)</f>
        <v>0</v>
      </c>
      <c r="AE66" s="823"/>
      <c r="AF66" s="823"/>
      <c r="AG66" s="824"/>
      <c r="AH66" s="822">
        <f>SUM(AH57:AK65)</f>
        <v>0</v>
      </c>
      <c r="AI66" s="823"/>
      <c r="AJ66" s="823"/>
      <c r="AK66" s="824"/>
      <c r="AL66" s="822">
        <f>SUM(AL57:AO65)</f>
        <v>0</v>
      </c>
      <c r="AM66" s="823"/>
      <c r="AN66" s="823"/>
      <c r="AO66" s="926"/>
    </row>
    <row r="67" spans="2:41" ht="3.6" customHeight="1" thickBot="1" x14ac:dyDescent="0.3">
      <c r="B67" s="598"/>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row>
    <row r="68" spans="2:41" ht="16.149999999999999" customHeight="1" x14ac:dyDescent="0.25">
      <c r="B68" s="589" t="s">
        <v>362</v>
      </c>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590"/>
      <c r="AL68" s="590"/>
      <c r="AM68" s="590"/>
      <c r="AN68" s="590"/>
      <c r="AO68" s="591"/>
    </row>
    <row r="69" spans="2:41" ht="30" customHeight="1" x14ac:dyDescent="0.25">
      <c r="B69" s="760" t="s">
        <v>104</v>
      </c>
      <c r="C69" s="761"/>
      <c r="D69" s="762" t="s">
        <v>162</v>
      </c>
      <c r="E69" s="763"/>
      <c r="F69" s="763"/>
      <c r="G69" s="763"/>
      <c r="H69" s="763"/>
      <c r="I69" s="763"/>
      <c r="J69" s="763"/>
      <c r="K69" s="763"/>
      <c r="L69" s="763"/>
      <c r="M69" s="763"/>
      <c r="N69" s="763"/>
      <c r="O69" s="763"/>
      <c r="P69" s="763"/>
      <c r="Q69" s="763"/>
      <c r="R69" s="763"/>
      <c r="S69" s="763"/>
      <c r="T69" s="763"/>
      <c r="U69" s="763"/>
      <c r="V69" s="763"/>
      <c r="W69" s="763"/>
      <c r="X69" s="763"/>
      <c r="Y69" s="763"/>
      <c r="Z69" s="763"/>
      <c r="AA69" s="764"/>
      <c r="AB69" s="762" t="s">
        <v>449</v>
      </c>
      <c r="AC69" s="764"/>
      <c r="AD69" s="762" t="s">
        <v>108</v>
      </c>
      <c r="AE69" s="763"/>
      <c r="AF69" s="763"/>
      <c r="AG69" s="764"/>
      <c r="AH69" s="762" t="s">
        <v>448</v>
      </c>
      <c r="AI69" s="763"/>
      <c r="AJ69" s="763"/>
      <c r="AK69" s="764"/>
      <c r="AL69" s="765" t="s">
        <v>450</v>
      </c>
      <c r="AM69" s="766"/>
      <c r="AN69" s="766"/>
      <c r="AO69" s="787"/>
    </row>
    <row r="70" spans="2:41" ht="16.149999999999999" customHeight="1" x14ac:dyDescent="0.25">
      <c r="B70" s="694"/>
      <c r="C70" s="695"/>
      <c r="D70" s="699"/>
      <c r="E70" s="700"/>
      <c r="F70" s="700"/>
      <c r="G70" s="700"/>
      <c r="H70" s="700"/>
      <c r="I70" s="700"/>
      <c r="J70" s="700"/>
      <c r="K70" s="700"/>
      <c r="L70" s="700"/>
      <c r="M70" s="700"/>
      <c r="N70" s="700"/>
      <c r="O70" s="700"/>
      <c r="P70" s="700"/>
      <c r="Q70" s="700"/>
      <c r="R70" s="700"/>
      <c r="S70" s="700"/>
      <c r="T70" s="700"/>
      <c r="U70" s="700"/>
      <c r="V70" s="700"/>
      <c r="W70" s="700"/>
      <c r="X70" s="700"/>
      <c r="Y70" s="700"/>
      <c r="Z70" s="700"/>
      <c r="AA70" s="701"/>
      <c r="AB70" s="702"/>
      <c r="AC70" s="703"/>
      <c r="AD70" s="704"/>
      <c r="AE70" s="705"/>
      <c r="AF70" s="705"/>
      <c r="AG70" s="706"/>
      <c r="AH70" s="696" t="str">
        <f>IF(ISBLANK(AD70),"",AD70)</f>
        <v/>
      </c>
      <c r="AI70" s="697"/>
      <c r="AJ70" s="697"/>
      <c r="AK70" s="707"/>
      <c r="AL70" s="696" t="str">
        <f t="shared" ref="AL70:AL78" si="1">IF(ISBLANK(AD70),"",AD70-AH70)</f>
        <v/>
      </c>
      <c r="AM70" s="697"/>
      <c r="AN70" s="697"/>
      <c r="AO70" s="698"/>
    </row>
    <row r="71" spans="2:41" ht="16.149999999999999" customHeight="1" x14ac:dyDescent="0.25">
      <c r="B71" s="694"/>
      <c r="C71" s="695"/>
      <c r="D71" s="699"/>
      <c r="E71" s="700"/>
      <c r="F71" s="700"/>
      <c r="G71" s="700"/>
      <c r="H71" s="700"/>
      <c r="I71" s="700"/>
      <c r="J71" s="700"/>
      <c r="K71" s="700"/>
      <c r="L71" s="700"/>
      <c r="M71" s="700"/>
      <c r="N71" s="700"/>
      <c r="O71" s="700"/>
      <c r="P71" s="700"/>
      <c r="Q71" s="700"/>
      <c r="R71" s="700"/>
      <c r="S71" s="700"/>
      <c r="T71" s="700"/>
      <c r="U71" s="700"/>
      <c r="V71" s="700"/>
      <c r="W71" s="700"/>
      <c r="X71" s="700"/>
      <c r="Y71" s="700"/>
      <c r="Z71" s="700"/>
      <c r="AA71" s="701"/>
      <c r="AB71" s="702"/>
      <c r="AC71" s="703"/>
      <c r="AD71" s="704"/>
      <c r="AE71" s="705"/>
      <c r="AF71" s="705"/>
      <c r="AG71" s="706"/>
      <c r="AH71" s="696" t="str">
        <f t="shared" ref="AH71:AH78" si="2">IF(ISBLANK(AD71),"",AD71)</f>
        <v/>
      </c>
      <c r="AI71" s="697"/>
      <c r="AJ71" s="697"/>
      <c r="AK71" s="707"/>
      <c r="AL71" s="696" t="str">
        <f t="shared" si="1"/>
        <v/>
      </c>
      <c r="AM71" s="697"/>
      <c r="AN71" s="697"/>
      <c r="AO71" s="698"/>
    </row>
    <row r="72" spans="2:41" ht="16.149999999999999" customHeight="1" x14ac:dyDescent="0.25">
      <c r="B72" s="694"/>
      <c r="C72" s="695"/>
      <c r="D72" s="699"/>
      <c r="E72" s="700"/>
      <c r="F72" s="700"/>
      <c r="G72" s="700"/>
      <c r="H72" s="700"/>
      <c r="I72" s="700"/>
      <c r="J72" s="700"/>
      <c r="K72" s="700"/>
      <c r="L72" s="700"/>
      <c r="M72" s="700"/>
      <c r="N72" s="700"/>
      <c r="O72" s="700"/>
      <c r="P72" s="700"/>
      <c r="Q72" s="700"/>
      <c r="R72" s="700"/>
      <c r="S72" s="700"/>
      <c r="T72" s="700"/>
      <c r="U72" s="700"/>
      <c r="V72" s="700"/>
      <c r="W72" s="700"/>
      <c r="X72" s="700"/>
      <c r="Y72" s="700"/>
      <c r="Z72" s="700"/>
      <c r="AA72" s="701"/>
      <c r="AB72" s="702"/>
      <c r="AC72" s="703"/>
      <c r="AD72" s="704"/>
      <c r="AE72" s="705"/>
      <c r="AF72" s="705"/>
      <c r="AG72" s="706"/>
      <c r="AH72" s="696" t="str">
        <f t="shared" si="2"/>
        <v/>
      </c>
      <c r="AI72" s="697"/>
      <c r="AJ72" s="697"/>
      <c r="AK72" s="707"/>
      <c r="AL72" s="696" t="str">
        <f t="shared" si="1"/>
        <v/>
      </c>
      <c r="AM72" s="697"/>
      <c r="AN72" s="697"/>
      <c r="AO72" s="698"/>
    </row>
    <row r="73" spans="2:41" ht="16.149999999999999" customHeight="1" x14ac:dyDescent="0.25">
      <c r="B73" s="694"/>
      <c r="C73" s="695"/>
      <c r="D73" s="699"/>
      <c r="E73" s="700"/>
      <c r="F73" s="700"/>
      <c r="G73" s="700"/>
      <c r="H73" s="700"/>
      <c r="I73" s="700"/>
      <c r="J73" s="700"/>
      <c r="K73" s="700"/>
      <c r="L73" s="700"/>
      <c r="M73" s="700"/>
      <c r="N73" s="700"/>
      <c r="O73" s="700"/>
      <c r="P73" s="700"/>
      <c r="Q73" s="700"/>
      <c r="R73" s="700"/>
      <c r="S73" s="700"/>
      <c r="T73" s="700"/>
      <c r="U73" s="700"/>
      <c r="V73" s="700"/>
      <c r="W73" s="700"/>
      <c r="X73" s="700"/>
      <c r="Y73" s="700"/>
      <c r="Z73" s="700"/>
      <c r="AA73" s="701"/>
      <c r="AB73" s="702"/>
      <c r="AC73" s="703"/>
      <c r="AD73" s="704"/>
      <c r="AE73" s="705"/>
      <c r="AF73" s="705"/>
      <c r="AG73" s="706"/>
      <c r="AH73" s="696" t="str">
        <f t="shared" si="2"/>
        <v/>
      </c>
      <c r="AI73" s="697"/>
      <c r="AJ73" s="697"/>
      <c r="AK73" s="707"/>
      <c r="AL73" s="696" t="str">
        <f t="shared" si="1"/>
        <v/>
      </c>
      <c r="AM73" s="697"/>
      <c r="AN73" s="697"/>
      <c r="AO73" s="698"/>
    </row>
    <row r="74" spans="2:41" ht="16.149999999999999" customHeight="1" x14ac:dyDescent="0.25">
      <c r="B74" s="694"/>
      <c r="C74" s="695"/>
      <c r="D74" s="699"/>
      <c r="E74" s="700"/>
      <c r="F74" s="700"/>
      <c r="G74" s="700"/>
      <c r="H74" s="700"/>
      <c r="I74" s="700"/>
      <c r="J74" s="700"/>
      <c r="K74" s="700"/>
      <c r="L74" s="700"/>
      <c r="M74" s="700"/>
      <c r="N74" s="700"/>
      <c r="O74" s="700"/>
      <c r="P74" s="700"/>
      <c r="Q74" s="700"/>
      <c r="R74" s="700"/>
      <c r="S74" s="700"/>
      <c r="T74" s="700"/>
      <c r="U74" s="700"/>
      <c r="V74" s="700"/>
      <c r="W74" s="700"/>
      <c r="X74" s="700"/>
      <c r="Y74" s="700"/>
      <c r="Z74" s="700"/>
      <c r="AA74" s="701"/>
      <c r="AB74" s="702"/>
      <c r="AC74" s="703"/>
      <c r="AD74" s="704"/>
      <c r="AE74" s="705"/>
      <c r="AF74" s="705"/>
      <c r="AG74" s="706"/>
      <c r="AH74" s="696" t="str">
        <f t="shared" si="2"/>
        <v/>
      </c>
      <c r="AI74" s="697"/>
      <c r="AJ74" s="697"/>
      <c r="AK74" s="707"/>
      <c r="AL74" s="696" t="str">
        <f t="shared" si="1"/>
        <v/>
      </c>
      <c r="AM74" s="697"/>
      <c r="AN74" s="697"/>
      <c r="AO74" s="698"/>
    </row>
    <row r="75" spans="2:41" ht="16.149999999999999" customHeight="1" x14ac:dyDescent="0.25">
      <c r="B75" s="694"/>
      <c r="C75" s="695"/>
      <c r="D75" s="699"/>
      <c r="E75" s="700"/>
      <c r="F75" s="700"/>
      <c r="G75" s="700"/>
      <c r="H75" s="700"/>
      <c r="I75" s="700"/>
      <c r="J75" s="700"/>
      <c r="K75" s="700"/>
      <c r="L75" s="700"/>
      <c r="M75" s="700"/>
      <c r="N75" s="700"/>
      <c r="O75" s="700"/>
      <c r="P75" s="700"/>
      <c r="Q75" s="700"/>
      <c r="R75" s="700"/>
      <c r="S75" s="700"/>
      <c r="T75" s="700"/>
      <c r="U75" s="700"/>
      <c r="V75" s="700"/>
      <c r="W75" s="700"/>
      <c r="X75" s="700"/>
      <c r="Y75" s="700"/>
      <c r="Z75" s="700"/>
      <c r="AA75" s="701"/>
      <c r="AB75" s="702"/>
      <c r="AC75" s="703"/>
      <c r="AD75" s="704"/>
      <c r="AE75" s="705"/>
      <c r="AF75" s="705"/>
      <c r="AG75" s="706"/>
      <c r="AH75" s="696" t="str">
        <f t="shared" si="2"/>
        <v/>
      </c>
      <c r="AI75" s="697"/>
      <c r="AJ75" s="697"/>
      <c r="AK75" s="707"/>
      <c r="AL75" s="696" t="str">
        <f t="shared" si="1"/>
        <v/>
      </c>
      <c r="AM75" s="697"/>
      <c r="AN75" s="697"/>
      <c r="AO75" s="698"/>
    </row>
    <row r="76" spans="2:41" ht="16.149999999999999" customHeight="1" x14ac:dyDescent="0.25">
      <c r="B76" s="694"/>
      <c r="C76" s="695"/>
      <c r="D76" s="699"/>
      <c r="E76" s="700"/>
      <c r="F76" s="700"/>
      <c r="G76" s="700"/>
      <c r="H76" s="700"/>
      <c r="I76" s="700"/>
      <c r="J76" s="700"/>
      <c r="K76" s="700"/>
      <c r="L76" s="700"/>
      <c r="M76" s="700"/>
      <c r="N76" s="700"/>
      <c r="O76" s="700"/>
      <c r="P76" s="700"/>
      <c r="Q76" s="700"/>
      <c r="R76" s="700"/>
      <c r="S76" s="700"/>
      <c r="T76" s="700"/>
      <c r="U76" s="700"/>
      <c r="V76" s="700"/>
      <c r="W76" s="700"/>
      <c r="X76" s="700"/>
      <c r="Y76" s="700"/>
      <c r="Z76" s="700"/>
      <c r="AA76" s="701"/>
      <c r="AB76" s="702"/>
      <c r="AC76" s="703"/>
      <c r="AD76" s="704"/>
      <c r="AE76" s="705"/>
      <c r="AF76" s="705"/>
      <c r="AG76" s="706"/>
      <c r="AH76" s="696" t="str">
        <f t="shared" si="2"/>
        <v/>
      </c>
      <c r="AI76" s="697"/>
      <c r="AJ76" s="697"/>
      <c r="AK76" s="707"/>
      <c r="AL76" s="696" t="str">
        <f t="shared" si="1"/>
        <v/>
      </c>
      <c r="AM76" s="697"/>
      <c r="AN76" s="697"/>
      <c r="AO76" s="698"/>
    </row>
    <row r="77" spans="2:41" ht="16.149999999999999" customHeight="1" x14ac:dyDescent="0.25">
      <c r="B77" s="694"/>
      <c r="C77" s="695"/>
      <c r="D77" s="699"/>
      <c r="E77" s="700"/>
      <c r="F77" s="700"/>
      <c r="G77" s="700"/>
      <c r="H77" s="700"/>
      <c r="I77" s="700"/>
      <c r="J77" s="700"/>
      <c r="K77" s="700"/>
      <c r="L77" s="700"/>
      <c r="M77" s="700"/>
      <c r="N77" s="700"/>
      <c r="O77" s="700"/>
      <c r="P77" s="700"/>
      <c r="Q77" s="700"/>
      <c r="R77" s="700"/>
      <c r="S77" s="700"/>
      <c r="T77" s="700"/>
      <c r="U77" s="700"/>
      <c r="V77" s="700"/>
      <c r="W77" s="700"/>
      <c r="X77" s="700"/>
      <c r="Y77" s="700"/>
      <c r="Z77" s="700"/>
      <c r="AA77" s="701"/>
      <c r="AB77" s="702"/>
      <c r="AC77" s="703"/>
      <c r="AD77" s="704"/>
      <c r="AE77" s="705"/>
      <c r="AF77" s="705"/>
      <c r="AG77" s="706"/>
      <c r="AH77" s="696" t="str">
        <f t="shared" si="2"/>
        <v/>
      </c>
      <c r="AI77" s="697"/>
      <c r="AJ77" s="697"/>
      <c r="AK77" s="707"/>
      <c r="AL77" s="696" t="str">
        <f t="shared" si="1"/>
        <v/>
      </c>
      <c r="AM77" s="697"/>
      <c r="AN77" s="697"/>
      <c r="AO77" s="698"/>
    </row>
    <row r="78" spans="2:41" ht="16.149999999999999" customHeight="1" thickBot="1" x14ac:dyDescent="0.3">
      <c r="B78" s="741"/>
      <c r="C78" s="742"/>
      <c r="D78" s="911"/>
      <c r="E78" s="912"/>
      <c r="F78" s="912"/>
      <c r="G78" s="912"/>
      <c r="H78" s="912"/>
      <c r="I78" s="912"/>
      <c r="J78" s="912"/>
      <c r="K78" s="912"/>
      <c r="L78" s="912"/>
      <c r="M78" s="912"/>
      <c r="N78" s="912"/>
      <c r="O78" s="912"/>
      <c r="P78" s="912"/>
      <c r="Q78" s="912"/>
      <c r="R78" s="912"/>
      <c r="S78" s="912"/>
      <c r="T78" s="912"/>
      <c r="U78" s="912"/>
      <c r="V78" s="912"/>
      <c r="W78" s="912"/>
      <c r="X78" s="912"/>
      <c r="Y78" s="912"/>
      <c r="Z78" s="912"/>
      <c r="AA78" s="913"/>
      <c r="AB78" s="914"/>
      <c r="AC78" s="915"/>
      <c r="AD78" s="916"/>
      <c r="AE78" s="917"/>
      <c r="AF78" s="917"/>
      <c r="AG78" s="918"/>
      <c r="AH78" s="919" t="str">
        <f t="shared" si="2"/>
        <v/>
      </c>
      <c r="AI78" s="920"/>
      <c r="AJ78" s="920"/>
      <c r="AK78" s="921"/>
      <c r="AL78" s="919" t="str">
        <f t="shared" si="1"/>
        <v/>
      </c>
      <c r="AM78" s="920"/>
      <c r="AN78" s="920"/>
      <c r="AO78" s="922"/>
    </row>
    <row r="79" spans="2:41" ht="16.149999999999999" customHeight="1" thickTop="1" thickBot="1" x14ac:dyDescent="0.3">
      <c r="B79" s="923" t="s">
        <v>451</v>
      </c>
      <c r="C79" s="924"/>
      <c r="D79" s="924"/>
      <c r="E79" s="924"/>
      <c r="F79" s="924"/>
      <c r="G79" s="924"/>
      <c r="H79" s="924"/>
      <c r="I79" s="924"/>
      <c r="J79" s="924"/>
      <c r="K79" s="924"/>
      <c r="L79" s="924"/>
      <c r="M79" s="924"/>
      <c r="N79" s="924"/>
      <c r="O79" s="924"/>
      <c r="P79" s="924"/>
      <c r="Q79" s="924"/>
      <c r="R79" s="924"/>
      <c r="S79" s="924"/>
      <c r="T79" s="924"/>
      <c r="U79" s="924"/>
      <c r="V79" s="924"/>
      <c r="W79" s="924"/>
      <c r="X79" s="924"/>
      <c r="Y79" s="924"/>
      <c r="Z79" s="924"/>
      <c r="AA79" s="924"/>
      <c r="AB79" s="924"/>
      <c r="AC79" s="925"/>
      <c r="AD79" s="822">
        <f>SUM(AD70:AG78)</f>
        <v>0</v>
      </c>
      <c r="AE79" s="823"/>
      <c r="AF79" s="823"/>
      <c r="AG79" s="824"/>
      <c r="AH79" s="822">
        <f>SUM(AH70:AK78)</f>
        <v>0</v>
      </c>
      <c r="AI79" s="823"/>
      <c r="AJ79" s="823"/>
      <c r="AK79" s="824"/>
      <c r="AL79" s="822">
        <f>SUM(AL70:AO78)</f>
        <v>0</v>
      </c>
      <c r="AM79" s="823"/>
      <c r="AN79" s="823"/>
      <c r="AO79" s="926"/>
    </row>
    <row r="80" spans="2:41" ht="3.6" customHeight="1" thickBot="1" x14ac:dyDescent="0.3">
      <c r="B80" s="598"/>
      <c r="C80" s="598"/>
      <c r="D80" s="598"/>
      <c r="E80" s="598"/>
      <c r="F80" s="598"/>
      <c r="G80" s="598"/>
      <c r="H80" s="598"/>
      <c r="I80" s="598"/>
      <c r="J80" s="598"/>
      <c r="K80" s="598"/>
      <c r="L80" s="598"/>
      <c r="M80" s="598"/>
      <c r="N80" s="598"/>
      <c r="O80" s="598"/>
      <c r="P80" s="598"/>
      <c r="Q80" s="598"/>
      <c r="R80" s="598"/>
      <c r="S80" s="598"/>
      <c r="T80" s="598"/>
      <c r="U80" s="598"/>
      <c r="V80" s="598"/>
      <c r="W80" s="598"/>
      <c r="X80" s="598"/>
      <c r="Y80" s="598"/>
      <c r="Z80" s="598"/>
      <c r="AA80" s="598"/>
      <c r="AB80" s="598"/>
      <c r="AC80" s="598"/>
      <c r="AD80" s="598"/>
      <c r="AE80" s="598"/>
      <c r="AF80" s="598"/>
      <c r="AG80" s="598"/>
      <c r="AH80" s="598"/>
      <c r="AI80" s="598"/>
      <c r="AJ80" s="598"/>
      <c r="AK80" s="598"/>
      <c r="AL80" s="598"/>
      <c r="AM80" s="598"/>
      <c r="AN80" s="598"/>
      <c r="AO80" s="598"/>
    </row>
    <row r="81" spans="2:46" ht="21.6" customHeight="1" thickBot="1" x14ac:dyDescent="0.3">
      <c r="B81" s="743" t="s">
        <v>393</v>
      </c>
      <c r="C81" s="744"/>
      <c r="D81" s="744"/>
      <c r="E81" s="744"/>
      <c r="F81" s="744"/>
      <c r="G81" s="744"/>
      <c r="H81" s="744"/>
      <c r="I81" s="744"/>
      <c r="J81" s="744"/>
      <c r="K81" s="744"/>
      <c r="L81" s="744"/>
      <c r="M81" s="744"/>
      <c r="N81" s="744"/>
      <c r="O81" s="744"/>
      <c r="P81" s="744"/>
      <c r="Q81" s="744"/>
      <c r="R81" s="744"/>
      <c r="S81" s="744"/>
      <c r="T81" s="744"/>
      <c r="U81" s="744"/>
      <c r="V81" s="744"/>
      <c r="W81" s="744"/>
      <c r="X81" s="744"/>
      <c r="Y81" s="744"/>
      <c r="Z81" s="744"/>
      <c r="AA81" s="744"/>
      <c r="AB81" s="744"/>
      <c r="AC81" s="744"/>
      <c r="AD81" s="744"/>
      <c r="AE81" s="744"/>
      <c r="AF81" s="744"/>
      <c r="AG81" s="744"/>
      <c r="AH81" s="744"/>
      <c r="AI81" s="744"/>
      <c r="AJ81" s="744"/>
      <c r="AK81" s="744"/>
      <c r="AL81" s="744"/>
      <c r="AM81" s="744"/>
      <c r="AN81" s="744"/>
      <c r="AO81" s="745"/>
    </row>
    <row r="82" spans="2:46" s="2" customFormat="1" ht="21.6" customHeight="1" x14ac:dyDescent="0.25">
      <c r="B82" s="746" t="s">
        <v>163</v>
      </c>
      <c r="C82" s="727"/>
      <c r="D82" s="727"/>
      <c r="E82" s="727"/>
      <c r="F82" s="727"/>
      <c r="G82" s="728"/>
      <c r="H82" s="691">
        <f>SUMIF(B:C,"A",X:AC)+SUMIF(B57:C65,"A",AD57:AG65)+SUMIF(B70:C78,"A",AD70:AG78)</f>
        <v>0</v>
      </c>
      <c r="I82" s="692"/>
      <c r="J82" s="692"/>
      <c r="K82" s="693"/>
      <c r="L82" s="726" t="s">
        <v>164</v>
      </c>
      <c r="M82" s="727"/>
      <c r="N82" s="727"/>
      <c r="O82" s="727"/>
      <c r="P82" s="727"/>
      <c r="Q82" s="727"/>
      <c r="R82" s="728"/>
      <c r="S82" s="691">
        <f>IF(AND(B10="A",NOT(ISBLANK(X10))),AD10,0)+IF(AND(B12="A",NOT(ISBLANK(X12))),AD12,0)+IF(AND(B15="A",NOT(ISBLANK(X15))),AD15,0)+IF(AND(B18="A",NOT(ISBLANK(X18))),AD18,0)+IF(AND(B21="A",NOT(ISBLANK(X21))),AD21,0)+IF(AND(B23="A",NOT(ISBLANK(X23))),AD23,0)+IF(AND(B25="A",NOT(ISBLANK(X25))),AD25,0)+IF(AND(B27="A",NOT(ISBLANK(X27))),AD27,0)+IF(AND(B29="A",NOT(ISBLANK(X29))),AD29,0)+IF(AND(B35="A",NOT(ISBLANK(X35))),AD35,0)+IF(AND(B37="A",NOT(ISBLANK(X37))),AD37,0)+IF(AND(B39="A",NOT(ISBLANK(X39))),AD39,0)+IF(AND(B41="A",NOT(ISBLANK(X41))),AD41,0)+IF(AND(B43="A",NOT(ISBLANK(X43))),AD43,0)+IF(AND(B45="A",NOT(ISBLANK(X45))),AD45,0)+IF(AND(B47="A",NOT(ISBLANK(X47))),AD47,0)+IF(AND(B50="A",NOT(ISBLANK(X50))),AD50,0)+SUMIF(B70:C78,"A",AH70:AK78)+SUMIF(B57:C65,"A",AH57:AK65)</f>
        <v>0</v>
      </c>
      <c r="T82" s="692"/>
      <c r="U82" s="692"/>
      <c r="V82" s="693"/>
      <c r="W82" s="726" t="s">
        <v>165</v>
      </c>
      <c r="X82" s="727"/>
      <c r="Y82" s="727"/>
      <c r="Z82" s="727"/>
      <c r="AA82" s="728"/>
      <c r="AB82" s="844"/>
      <c r="AC82" s="845"/>
      <c r="AD82" s="845"/>
      <c r="AE82" s="846"/>
      <c r="AF82" s="726" t="s">
        <v>166</v>
      </c>
      <c r="AG82" s="727"/>
      <c r="AH82" s="727"/>
      <c r="AI82" s="727"/>
      <c r="AJ82" s="728"/>
      <c r="AK82" s="691">
        <f>H82-S82-AB82</f>
        <v>0</v>
      </c>
      <c r="AL82" s="692"/>
      <c r="AM82" s="692"/>
      <c r="AN82" s="692"/>
      <c r="AO82" s="847"/>
    </row>
    <row r="83" spans="2:46" s="2" customFormat="1" ht="21.6" customHeight="1" x14ac:dyDescent="0.25">
      <c r="B83" s="863" t="s">
        <v>167</v>
      </c>
      <c r="C83" s="855"/>
      <c r="D83" s="855"/>
      <c r="E83" s="855"/>
      <c r="F83" s="855"/>
      <c r="G83" s="856"/>
      <c r="H83" s="857">
        <f>SUMIF(B:C,"B",X:AC)+SUMIF(B57:C65,"B",AD57:AG65)+SUMIF(B70:C78,"B",AD70:AG78)</f>
        <v>0</v>
      </c>
      <c r="I83" s="858"/>
      <c r="J83" s="858"/>
      <c r="K83" s="864"/>
      <c r="L83" s="854" t="s">
        <v>168</v>
      </c>
      <c r="M83" s="855"/>
      <c r="N83" s="855"/>
      <c r="O83" s="855"/>
      <c r="P83" s="855"/>
      <c r="Q83" s="855"/>
      <c r="R83" s="856"/>
      <c r="S83" s="857">
        <f>IF(AND(B10="B",NOT(ISBLANK(X10))),AD10,0)+IF(AND(B12="B",NOT(ISBLANK(X12))),AD12,0)+IF(AND(B15="B",NOT(ISBLANK(X15))),AD15,0)+IF(AND(B18="B",NOT(ISBLANK(X18))),AD18,0)+IF(AND(B21="B",NOT(ISBLANK(X21))),AD21,0)+IF(AND(B23="B",NOT(ISBLANK(X23))),AD23,0)+IF(AND(B25="B",NOT(ISBLANK(X25))),AD25,0)+IF(AND(B27="B",NOT(ISBLANK(X27))),AD27,0)+IF(AND(B29="B",NOT(ISBLANK(X29))),AD29,0)+IF(AND(B35="B",NOT(ISBLANK(X35))),AD35,0)+IF(AND(B37="B",NOT(ISBLANK(X37))),AD37,0)+IF(AND(B39="B",NOT(ISBLANK(X39))),AD39,0)+IF(AND(B41="B",NOT(ISBLANK(X41))),AD41,0)+IF(AND(B43="B",NOT(ISBLANK(X43))),AD43,0)+IF(AND(B45="B",NOT(ISBLANK(X45))),AD45,0)+IF(AND(B47="B",NOT(ISBLANK(X47))),AD47,0)+IF(AND(B50="B",NOT(ISBLANK(X50))),AD50,0)+SUMIF(B70:C78,"B",AH70:AK78)+SUMIF(B57:C65,"B",AH57:AK65)</f>
        <v>0</v>
      </c>
      <c r="T83" s="858"/>
      <c r="U83" s="858"/>
      <c r="V83" s="864"/>
      <c r="W83" s="854" t="s">
        <v>165</v>
      </c>
      <c r="X83" s="855"/>
      <c r="Y83" s="855"/>
      <c r="Z83" s="855"/>
      <c r="AA83" s="856"/>
      <c r="AB83" s="865"/>
      <c r="AC83" s="866"/>
      <c r="AD83" s="866"/>
      <c r="AE83" s="867"/>
      <c r="AF83" s="854" t="s">
        <v>166</v>
      </c>
      <c r="AG83" s="855"/>
      <c r="AH83" s="855"/>
      <c r="AI83" s="855"/>
      <c r="AJ83" s="856"/>
      <c r="AK83" s="857">
        <f>H83-S83-AB83</f>
        <v>0</v>
      </c>
      <c r="AL83" s="858"/>
      <c r="AM83" s="858"/>
      <c r="AN83" s="858"/>
      <c r="AO83" s="859"/>
    </row>
    <row r="84" spans="2:46" s="2" customFormat="1" ht="21.6" customHeight="1" x14ac:dyDescent="0.25">
      <c r="B84" s="747" t="s">
        <v>394</v>
      </c>
      <c r="C84" s="748"/>
      <c r="D84" s="748"/>
      <c r="E84" s="748"/>
      <c r="F84" s="748"/>
      <c r="G84" s="748"/>
      <c r="H84" s="748"/>
      <c r="I84" s="748"/>
      <c r="J84" s="748"/>
      <c r="K84" s="748"/>
      <c r="L84" s="748"/>
      <c r="M84" s="748"/>
      <c r="N84" s="748"/>
      <c r="O84" s="748"/>
      <c r="P84" s="748"/>
      <c r="Q84" s="748"/>
      <c r="R84" s="748"/>
      <c r="S84" s="748"/>
      <c r="T84" s="748"/>
      <c r="U84" s="748"/>
      <c r="V84" s="748"/>
      <c r="W84" s="748"/>
      <c r="X84" s="748"/>
      <c r="Y84" s="748"/>
      <c r="Z84" s="748"/>
      <c r="AA84" s="748"/>
      <c r="AB84" s="748"/>
      <c r="AC84" s="748"/>
      <c r="AD84" s="748"/>
      <c r="AE84" s="748"/>
      <c r="AF84" s="748"/>
      <c r="AG84" s="748"/>
      <c r="AH84" s="748"/>
      <c r="AI84" s="748"/>
      <c r="AJ84" s="749"/>
      <c r="AK84" s="860">
        <f>H82+H83</f>
        <v>0</v>
      </c>
      <c r="AL84" s="861"/>
      <c r="AM84" s="861"/>
      <c r="AN84" s="861"/>
      <c r="AO84" s="862"/>
    </row>
    <row r="85" spans="2:46" s="2" customFormat="1" ht="21.6" customHeight="1" x14ac:dyDescent="0.25">
      <c r="B85" s="747" t="s">
        <v>49</v>
      </c>
      <c r="C85" s="748"/>
      <c r="D85" s="748"/>
      <c r="E85" s="748"/>
      <c r="F85" s="748"/>
      <c r="G85" s="748"/>
      <c r="H85" s="748"/>
      <c r="I85" s="748"/>
      <c r="J85" s="748"/>
      <c r="K85" s="748"/>
      <c r="L85" s="748"/>
      <c r="M85" s="748"/>
      <c r="N85" s="748"/>
      <c r="O85" s="748"/>
      <c r="P85" s="748"/>
      <c r="Q85" s="748"/>
      <c r="R85" s="748"/>
      <c r="S85" s="748"/>
      <c r="T85" s="748"/>
      <c r="U85" s="748"/>
      <c r="V85" s="748"/>
      <c r="W85" s="748"/>
      <c r="X85" s="748"/>
      <c r="Y85" s="748"/>
      <c r="Z85" s="748"/>
      <c r="AA85" s="748"/>
      <c r="AB85" s="748"/>
      <c r="AC85" s="748"/>
      <c r="AD85" s="748"/>
      <c r="AE85" s="748"/>
      <c r="AF85" s="748"/>
      <c r="AG85" s="748"/>
      <c r="AH85" s="748"/>
      <c r="AI85" s="748"/>
      <c r="AJ85" s="749"/>
      <c r="AK85" s="860">
        <f>S82+S83</f>
        <v>0</v>
      </c>
      <c r="AL85" s="861"/>
      <c r="AM85" s="861"/>
      <c r="AN85" s="861"/>
      <c r="AO85" s="862"/>
    </row>
    <row r="86" spans="2:46" s="2" customFormat="1" ht="21.6" customHeight="1" x14ac:dyDescent="0.25">
      <c r="B86" s="747" t="s">
        <v>426</v>
      </c>
      <c r="C86" s="748"/>
      <c r="D86" s="748"/>
      <c r="E86" s="748"/>
      <c r="F86" s="748"/>
      <c r="G86" s="748"/>
      <c r="H86" s="748"/>
      <c r="I86" s="748"/>
      <c r="J86" s="748"/>
      <c r="K86" s="748"/>
      <c r="L86" s="748"/>
      <c r="M86" s="748"/>
      <c r="N86" s="748"/>
      <c r="O86" s="748"/>
      <c r="P86" s="748"/>
      <c r="Q86" s="748"/>
      <c r="R86" s="748"/>
      <c r="S86" s="748"/>
      <c r="T86" s="748"/>
      <c r="U86" s="748"/>
      <c r="V86" s="748"/>
      <c r="W86" s="748"/>
      <c r="X86" s="748"/>
      <c r="Y86" s="748"/>
      <c r="Z86" s="748"/>
      <c r="AA86" s="748"/>
      <c r="AB86" s="748"/>
      <c r="AC86" s="748"/>
      <c r="AD86" s="748"/>
      <c r="AE86" s="748"/>
      <c r="AF86" s="748"/>
      <c r="AG86" s="748"/>
      <c r="AH86" s="748"/>
      <c r="AI86" s="748"/>
      <c r="AJ86" s="749"/>
      <c r="AK86" s="860">
        <f>AB82+AB83</f>
        <v>0</v>
      </c>
      <c r="AL86" s="861"/>
      <c r="AM86" s="861"/>
      <c r="AN86" s="861"/>
      <c r="AO86" s="862"/>
    </row>
    <row r="87" spans="2:46" s="2" customFormat="1" ht="21.6" customHeight="1" x14ac:dyDescent="0.25">
      <c r="B87" s="747" t="s">
        <v>169</v>
      </c>
      <c r="C87" s="748"/>
      <c r="D87" s="748"/>
      <c r="E87" s="748"/>
      <c r="F87" s="748"/>
      <c r="G87" s="748"/>
      <c r="H87" s="748"/>
      <c r="I87" s="748"/>
      <c r="J87" s="748"/>
      <c r="K87" s="748"/>
      <c r="L87" s="748"/>
      <c r="M87" s="748"/>
      <c r="N87" s="748"/>
      <c r="O87" s="748"/>
      <c r="P87" s="748"/>
      <c r="Q87" s="748"/>
      <c r="R87" s="748"/>
      <c r="S87" s="748"/>
      <c r="T87" s="748"/>
      <c r="U87" s="748"/>
      <c r="V87" s="748"/>
      <c r="W87" s="748"/>
      <c r="X87" s="748"/>
      <c r="Y87" s="748"/>
      <c r="Z87" s="748"/>
      <c r="AA87" s="748"/>
      <c r="AB87" s="748"/>
      <c r="AC87" s="748"/>
      <c r="AD87" s="748"/>
      <c r="AE87" s="748"/>
      <c r="AF87" s="748"/>
      <c r="AG87" s="748"/>
      <c r="AH87" s="748"/>
      <c r="AI87" s="748"/>
      <c r="AJ87" s="749"/>
      <c r="AK87" s="860">
        <f>AK84-AK85-AK86</f>
        <v>0</v>
      </c>
      <c r="AL87" s="861"/>
      <c r="AM87" s="861"/>
      <c r="AN87" s="861"/>
      <c r="AO87" s="862"/>
    </row>
    <row r="88" spans="2:46" s="2" customFormat="1" ht="21.6" customHeight="1" x14ac:dyDescent="0.25">
      <c r="B88" s="747" t="s">
        <v>170</v>
      </c>
      <c r="C88" s="748"/>
      <c r="D88" s="748"/>
      <c r="E88" s="748"/>
      <c r="F88" s="748"/>
      <c r="G88" s="748"/>
      <c r="H88" s="748"/>
      <c r="I88" s="748"/>
      <c r="J88" s="748"/>
      <c r="K88" s="748"/>
      <c r="L88" s="748"/>
      <c r="M88" s="748"/>
      <c r="N88" s="748"/>
      <c r="O88" s="748"/>
      <c r="P88" s="748"/>
      <c r="Q88" s="748"/>
      <c r="R88" s="748"/>
      <c r="S88" s="748"/>
      <c r="T88" s="748"/>
      <c r="U88" s="748"/>
      <c r="V88" s="748"/>
      <c r="W88" s="748"/>
      <c r="X88" s="748"/>
      <c r="Y88" s="748"/>
      <c r="Z88" s="748"/>
      <c r="AA88" s="748"/>
      <c r="AB88" s="748"/>
      <c r="AC88" s="748"/>
      <c r="AD88" s="748"/>
      <c r="AE88" s="748"/>
      <c r="AF88" s="748"/>
      <c r="AG88" s="748"/>
      <c r="AH88" s="748"/>
      <c r="AI88" s="748"/>
      <c r="AJ88" s="749"/>
      <c r="AK88" s="750"/>
      <c r="AL88" s="751"/>
      <c r="AM88" s="751"/>
      <c r="AN88" s="751"/>
      <c r="AO88" s="752"/>
    </row>
    <row r="89" spans="2:46" s="2" customFormat="1" ht="21.6" customHeight="1" thickBot="1" x14ac:dyDescent="0.3">
      <c r="B89" s="848" t="s">
        <v>171</v>
      </c>
      <c r="C89" s="849"/>
      <c r="D89" s="849"/>
      <c r="E89" s="849"/>
      <c r="F89" s="849"/>
      <c r="G89" s="849"/>
      <c r="H89" s="849"/>
      <c r="I89" s="849"/>
      <c r="J89" s="849"/>
      <c r="K89" s="849"/>
      <c r="L89" s="849"/>
      <c r="M89" s="849"/>
      <c r="N89" s="849"/>
      <c r="O89" s="849"/>
      <c r="P89" s="849"/>
      <c r="Q89" s="849"/>
      <c r="R89" s="849"/>
      <c r="S89" s="849"/>
      <c r="T89" s="849"/>
      <c r="U89" s="849"/>
      <c r="V89" s="849"/>
      <c r="W89" s="849"/>
      <c r="X89" s="849"/>
      <c r="Y89" s="849"/>
      <c r="Z89" s="849"/>
      <c r="AA89" s="849"/>
      <c r="AB89" s="849"/>
      <c r="AC89" s="849"/>
      <c r="AD89" s="849"/>
      <c r="AE89" s="849"/>
      <c r="AF89" s="849"/>
      <c r="AG89" s="849"/>
      <c r="AH89" s="849"/>
      <c r="AI89" s="849"/>
      <c r="AJ89" s="850"/>
      <c r="AK89" s="851">
        <f>AK87-AK88</f>
        <v>0</v>
      </c>
      <c r="AL89" s="852"/>
      <c r="AM89" s="852"/>
      <c r="AN89" s="852"/>
      <c r="AO89" s="853"/>
      <c r="AQ89" s="927" t="s">
        <v>457</v>
      </c>
      <c r="AR89" s="927"/>
      <c r="AS89" s="927"/>
      <c r="AT89" s="238" t="str">
        <f>IF('Project Score'!G31=0,"0",'Project Score'!C35)</f>
        <v>0</v>
      </c>
    </row>
    <row r="90" spans="2:46" ht="3.6" customHeight="1" thickBot="1" x14ac:dyDescent="0.3">
      <c r="B90" s="868"/>
      <c r="C90" s="868"/>
      <c r="D90" s="868"/>
      <c r="E90" s="868"/>
      <c r="F90" s="868"/>
      <c r="G90" s="868"/>
      <c r="H90" s="868"/>
      <c r="I90" s="868"/>
      <c r="J90" s="868"/>
      <c r="K90" s="868"/>
      <c r="L90" s="868"/>
      <c r="M90" s="868"/>
      <c r="N90" s="868"/>
      <c r="O90" s="868"/>
      <c r="P90" s="868"/>
      <c r="Q90" s="868"/>
      <c r="R90" s="868"/>
      <c r="S90" s="868"/>
      <c r="T90" s="868"/>
      <c r="U90" s="868"/>
      <c r="V90" s="868"/>
      <c r="W90" s="868"/>
      <c r="X90" s="868"/>
      <c r="Y90" s="868"/>
      <c r="Z90" s="868"/>
      <c r="AA90" s="868"/>
      <c r="AB90" s="868"/>
      <c r="AC90" s="868"/>
      <c r="AD90" s="868"/>
      <c r="AE90" s="868"/>
      <c r="AF90" s="868"/>
      <c r="AG90" s="868"/>
      <c r="AH90" s="868"/>
      <c r="AI90" s="868"/>
      <c r="AJ90" s="868"/>
      <c r="AK90" s="868"/>
      <c r="AL90" s="868"/>
      <c r="AM90" s="868"/>
      <c r="AN90" s="868"/>
      <c r="AO90" s="868"/>
    </row>
    <row r="91" spans="2:46" s="2" customFormat="1" ht="21.6" customHeight="1" thickBot="1" x14ac:dyDescent="0.3">
      <c r="B91" s="869"/>
      <c r="C91" s="870"/>
      <c r="D91" s="871" t="s">
        <v>179</v>
      </c>
      <c r="E91" s="871"/>
      <c r="F91" s="871"/>
      <c r="G91" s="871"/>
      <c r="H91" s="871"/>
      <c r="I91" s="871"/>
      <c r="J91" s="871"/>
      <c r="K91" s="871"/>
      <c r="L91" s="871"/>
      <c r="M91" s="871"/>
      <c r="N91" s="871"/>
      <c r="O91" s="871"/>
      <c r="P91" s="872"/>
      <c r="Q91" s="873"/>
      <c r="R91" s="874"/>
      <c r="S91" s="875" t="s">
        <v>180</v>
      </c>
      <c r="T91" s="875"/>
      <c r="U91" s="875"/>
      <c r="V91" s="875"/>
      <c r="W91" s="875"/>
      <c r="X91" s="875"/>
      <c r="Y91" s="875"/>
      <c r="Z91" s="875"/>
      <c r="AA91" s="875"/>
      <c r="AB91" s="876"/>
      <c r="AC91" s="877"/>
      <c r="AD91" s="878"/>
      <c r="AE91" s="875" t="s">
        <v>181</v>
      </c>
      <c r="AF91" s="875"/>
      <c r="AG91" s="875"/>
      <c r="AH91" s="875"/>
      <c r="AI91" s="875"/>
      <c r="AJ91" s="875"/>
      <c r="AK91" s="875"/>
      <c r="AL91" s="875"/>
      <c r="AM91" s="875"/>
      <c r="AN91" s="875"/>
      <c r="AO91" s="879"/>
    </row>
    <row r="92" spans="2:46" ht="3.6" customHeight="1" thickBot="1" x14ac:dyDescent="0.3">
      <c r="B92" s="592"/>
      <c r="C92" s="592"/>
      <c r="D92" s="592"/>
      <c r="E92" s="592"/>
      <c r="F92" s="592"/>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592"/>
      <c r="AK92" s="592"/>
      <c r="AL92" s="592"/>
      <c r="AM92" s="592"/>
      <c r="AN92" s="592"/>
      <c r="AO92" s="592"/>
    </row>
    <row r="93" spans="2:46" ht="21.6" customHeight="1" x14ac:dyDescent="0.25">
      <c r="B93" s="891" t="s">
        <v>395</v>
      </c>
      <c r="C93" s="892"/>
      <c r="D93" s="892"/>
      <c r="E93" s="892"/>
      <c r="F93" s="892"/>
      <c r="G93" s="892"/>
      <c r="H93" s="892"/>
      <c r="I93" s="892"/>
      <c r="J93" s="892"/>
      <c r="K93" s="892"/>
      <c r="L93" s="892"/>
      <c r="M93" s="892"/>
      <c r="N93" s="892"/>
      <c r="O93" s="892"/>
      <c r="P93" s="892"/>
      <c r="Q93" s="892"/>
      <c r="R93" s="892"/>
      <c r="S93" s="892"/>
      <c r="T93" s="892"/>
      <c r="U93" s="892"/>
      <c r="V93" s="892"/>
      <c r="W93" s="892"/>
      <c r="X93" s="892"/>
      <c r="Y93" s="892"/>
      <c r="Z93" s="892"/>
      <c r="AA93" s="892"/>
      <c r="AB93" s="892"/>
      <c r="AC93" s="892"/>
      <c r="AD93" s="892"/>
      <c r="AE93" s="892"/>
      <c r="AF93" s="892"/>
      <c r="AG93" s="892"/>
      <c r="AH93" s="892"/>
      <c r="AI93" s="892"/>
      <c r="AJ93" s="892"/>
      <c r="AK93" s="892"/>
      <c r="AL93" s="892"/>
      <c r="AM93" s="892"/>
      <c r="AN93" s="892"/>
      <c r="AO93" s="893"/>
    </row>
    <row r="94" spans="2:46" s="20" customFormat="1" ht="100.9" customHeight="1" x14ac:dyDescent="0.2">
      <c r="B94" s="894" t="s">
        <v>182</v>
      </c>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6"/>
    </row>
    <row r="95" spans="2:46" s="20" customFormat="1" ht="29.45" customHeight="1" x14ac:dyDescent="0.2">
      <c r="B95" s="888" t="s">
        <v>174</v>
      </c>
      <c r="C95" s="889"/>
      <c r="D95" s="889"/>
      <c r="E95" s="889"/>
      <c r="F95" s="889"/>
      <c r="G95" s="889"/>
      <c r="H95" s="889"/>
      <c r="I95" s="889"/>
      <c r="J95" s="889"/>
      <c r="K95" s="889"/>
      <c r="L95" s="889"/>
      <c r="M95" s="889"/>
      <c r="N95" s="889"/>
      <c r="O95" s="889"/>
      <c r="P95" s="889"/>
      <c r="Q95" s="889"/>
      <c r="R95" s="889"/>
      <c r="S95" s="889"/>
      <c r="T95" s="889"/>
      <c r="U95" s="889"/>
      <c r="V95" s="889"/>
      <c r="W95" s="889"/>
      <c r="X95" s="889"/>
      <c r="Y95" s="889"/>
      <c r="Z95" s="889"/>
      <c r="AA95" s="889"/>
      <c r="AB95" s="889"/>
      <c r="AC95" s="889"/>
      <c r="AD95" s="889"/>
      <c r="AE95" s="889"/>
      <c r="AF95" s="889"/>
      <c r="AG95" s="889"/>
      <c r="AH95" s="889"/>
      <c r="AI95" s="889"/>
      <c r="AJ95" s="889"/>
      <c r="AK95" s="889"/>
      <c r="AL95" s="889"/>
      <c r="AM95" s="889"/>
      <c r="AN95" s="889"/>
      <c r="AO95" s="890"/>
    </row>
    <row r="96" spans="2:46" ht="34.9" customHeight="1" x14ac:dyDescent="0.25">
      <c r="B96" s="733" t="s">
        <v>399</v>
      </c>
      <c r="C96" s="734"/>
      <c r="D96" s="734"/>
      <c r="E96" s="734"/>
      <c r="F96" s="734"/>
      <c r="G96" s="735"/>
      <c r="H96" s="735"/>
      <c r="I96" s="735"/>
      <c r="J96" s="735"/>
      <c r="K96" s="735"/>
      <c r="L96" s="735"/>
      <c r="M96" s="735"/>
      <c r="N96" s="735"/>
      <c r="O96" s="735"/>
      <c r="P96" s="735"/>
      <c r="Q96" s="735"/>
      <c r="R96" s="736"/>
      <c r="S96" s="737" t="s">
        <v>175</v>
      </c>
      <c r="T96" s="738"/>
      <c r="U96" s="738"/>
      <c r="V96" s="738"/>
      <c r="W96" s="739"/>
      <c r="X96" s="739"/>
      <c r="Y96" s="739"/>
      <c r="Z96" s="739"/>
      <c r="AA96" s="739"/>
      <c r="AB96" s="739"/>
      <c r="AC96" s="739"/>
      <c r="AD96" s="739"/>
      <c r="AE96" s="739"/>
      <c r="AF96" s="739"/>
      <c r="AG96" s="739"/>
      <c r="AH96" s="739"/>
      <c r="AI96" s="740"/>
      <c r="AJ96" s="731" t="s">
        <v>176</v>
      </c>
      <c r="AK96" s="732"/>
      <c r="AL96" s="729"/>
      <c r="AM96" s="729"/>
      <c r="AN96" s="729"/>
      <c r="AO96" s="730"/>
    </row>
    <row r="97" spans="2:41" ht="34.9" customHeight="1" thickBot="1" x14ac:dyDescent="0.3">
      <c r="B97" s="883" t="s">
        <v>177</v>
      </c>
      <c r="C97" s="884"/>
      <c r="D97" s="884"/>
      <c r="E97" s="884"/>
      <c r="F97" s="884"/>
      <c r="G97" s="884"/>
      <c r="H97" s="884"/>
      <c r="I97" s="884"/>
      <c r="J97" s="901"/>
      <c r="K97" s="901"/>
      <c r="L97" s="901"/>
      <c r="M97" s="901"/>
      <c r="N97" s="901"/>
      <c r="O97" s="901"/>
      <c r="P97" s="901"/>
      <c r="Q97" s="901"/>
      <c r="R97" s="901"/>
      <c r="S97" s="901"/>
      <c r="T97" s="901"/>
      <c r="U97" s="901"/>
      <c r="V97" s="901"/>
      <c r="W97" s="901"/>
      <c r="X97" s="901"/>
      <c r="Y97" s="901"/>
      <c r="Z97" s="901"/>
      <c r="AA97" s="901"/>
      <c r="AB97" s="901"/>
      <c r="AC97" s="901"/>
      <c r="AD97" s="901"/>
      <c r="AE97" s="901"/>
      <c r="AF97" s="901"/>
      <c r="AG97" s="901"/>
      <c r="AH97" s="901"/>
      <c r="AI97" s="902"/>
      <c r="AJ97" s="897" t="s">
        <v>176</v>
      </c>
      <c r="AK97" s="898"/>
      <c r="AL97" s="899"/>
      <c r="AM97" s="899"/>
      <c r="AN97" s="899"/>
      <c r="AO97" s="900"/>
    </row>
    <row r="98" spans="2:41" ht="3.6" customHeight="1" thickBot="1" x14ac:dyDescent="0.3">
      <c r="B98" s="903"/>
      <c r="C98" s="903"/>
      <c r="D98" s="903"/>
      <c r="E98" s="903"/>
      <c r="F98" s="903"/>
      <c r="G98" s="903"/>
      <c r="H98" s="903"/>
      <c r="I98" s="903"/>
      <c r="J98" s="903"/>
      <c r="K98" s="903"/>
      <c r="L98" s="903"/>
      <c r="M98" s="903"/>
      <c r="N98" s="903"/>
      <c r="O98" s="903"/>
      <c r="P98" s="903"/>
      <c r="Q98" s="903"/>
      <c r="R98" s="903"/>
      <c r="S98" s="903"/>
      <c r="T98" s="903"/>
      <c r="U98" s="903"/>
      <c r="V98" s="903"/>
      <c r="W98" s="903"/>
      <c r="X98" s="903"/>
      <c r="Y98" s="903"/>
      <c r="Z98" s="903"/>
      <c r="AA98" s="903"/>
      <c r="AB98" s="903"/>
      <c r="AC98" s="903"/>
      <c r="AD98" s="903"/>
      <c r="AE98" s="903"/>
      <c r="AF98" s="903"/>
      <c r="AG98" s="903"/>
      <c r="AH98" s="903"/>
      <c r="AI98" s="903"/>
      <c r="AJ98" s="903"/>
      <c r="AK98" s="903"/>
      <c r="AL98" s="903"/>
      <c r="AM98" s="903"/>
      <c r="AN98" s="903"/>
      <c r="AO98" s="903"/>
    </row>
    <row r="99" spans="2:41" ht="21.6" customHeight="1" x14ac:dyDescent="0.25">
      <c r="B99" s="885" t="s">
        <v>396</v>
      </c>
      <c r="C99" s="886"/>
      <c r="D99" s="886"/>
      <c r="E99" s="886"/>
      <c r="F99" s="886"/>
      <c r="G99" s="886"/>
      <c r="H99" s="886"/>
      <c r="I99" s="886"/>
      <c r="J99" s="886"/>
      <c r="K99" s="886"/>
      <c r="L99" s="886"/>
      <c r="M99" s="886"/>
      <c r="N99" s="886"/>
      <c r="O99" s="886"/>
      <c r="P99" s="886"/>
      <c r="Q99" s="886"/>
      <c r="R99" s="886"/>
      <c r="S99" s="886"/>
      <c r="T99" s="886"/>
      <c r="U99" s="886"/>
      <c r="V99" s="886"/>
      <c r="W99" s="886"/>
      <c r="X99" s="886"/>
      <c r="Y99" s="886"/>
      <c r="Z99" s="886"/>
      <c r="AA99" s="886"/>
      <c r="AB99" s="886"/>
      <c r="AC99" s="886"/>
      <c r="AD99" s="886"/>
      <c r="AE99" s="886"/>
      <c r="AF99" s="886"/>
      <c r="AG99" s="886"/>
      <c r="AH99" s="886"/>
      <c r="AI99" s="886"/>
      <c r="AJ99" s="886"/>
      <c r="AK99" s="886"/>
      <c r="AL99" s="886"/>
      <c r="AM99" s="886"/>
      <c r="AN99" s="886"/>
      <c r="AO99" s="887"/>
    </row>
    <row r="100" spans="2:41" ht="47.45" customHeight="1" x14ac:dyDescent="0.25">
      <c r="B100" s="888" t="s">
        <v>178</v>
      </c>
      <c r="C100" s="889"/>
      <c r="D100" s="889"/>
      <c r="E100" s="889"/>
      <c r="F100" s="889"/>
      <c r="G100" s="889"/>
      <c r="H100" s="889"/>
      <c r="I100" s="889"/>
      <c r="J100" s="889"/>
      <c r="K100" s="889"/>
      <c r="L100" s="889"/>
      <c r="M100" s="889"/>
      <c r="N100" s="889"/>
      <c r="O100" s="889"/>
      <c r="P100" s="889"/>
      <c r="Q100" s="889"/>
      <c r="R100" s="889"/>
      <c r="S100" s="889"/>
      <c r="T100" s="889"/>
      <c r="U100" s="889"/>
      <c r="V100" s="889"/>
      <c r="W100" s="889"/>
      <c r="X100" s="889"/>
      <c r="Y100" s="889"/>
      <c r="Z100" s="889"/>
      <c r="AA100" s="889"/>
      <c r="AB100" s="889"/>
      <c r="AC100" s="889"/>
      <c r="AD100" s="889"/>
      <c r="AE100" s="889"/>
      <c r="AF100" s="889"/>
      <c r="AG100" s="889"/>
      <c r="AH100" s="889"/>
      <c r="AI100" s="889"/>
      <c r="AJ100" s="889"/>
      <c r="AK100" s="889"/>
      <c r="AL100" s="889"/>
      <c r="AM100" s="889"/>
      <c r="AN100" s="889"/>
      <c r="AO100" s="890"/>
    </row>
    <row r="101" spans="2:41" ht="34.9" customHeight="1" x14ac:dyDescent="0.25">
      <c r="B101" s="733" t="s">
        <v>399</v>
      </c>
      <c r="C101" s="734"/>
      <c r="D101" s="734"/>
      <c r="E101" s="734"/>
      <c r="F101" s="734"/>
      <c r="G101" s="735"/>
      <c r="H101" s="735"/>
      <c r="I101" s="735"/>
      <c r="J101" s="735"/>
      <c r="K101" s="735"/>
      <c r="L101" s="735"/>
      <c r="M101" s="735"/>
      <c r="N101" s="735"/>
      <c r="O101" s="735"/>
      <c r="P101" s="735"/>
      <c r="Q101" s="735"/>
      <c r="R101" s="736"/>
      <c r="S101" s="737" t="s">
        <v>175</v>
      </c>
      <c r="T101" s="738"/>
      <c r="U101" s="738"/>
      <c r="V101" s="738"/>
      <c r="W101" s="739"/>
      <c r="X101" s="739"/>
      <c r="Y101" s="739"/>
      <c r="Z101" s="739"/>
      <c r="AA101" s="739"/>
      <c r="AB101" s="739"/>
      <c r="AC101" s="739"/>
      <c r="AD101" s="739"/>
      <c r="AE101" s="739"/>
      <c r="AF101" s="739"/>
      <c r="AG101" s="739"/>
      <c r="AH101" s="739"/>
      <c r="AI101" s="740"/>
      <c r="AJ101" s="731" t="s">
        <v>176</v>
      </c>
      <c r="AK101" s="732"/>
      <c r="AL101" s="729"/>
      <c r="AM101" s="729"/>
      <c r="AN101" s="729"/>
      <c r="AO101" s="730"/>
    </row>
    <row r="102" spans="2:41" ht="34.9" customHeight="1" thickBot="1" x14ac:dyDescent="0.3">
      <c r="B102" s="883" t="s">
        <v>177</v>
      </c>
      <c r="C102" s="884"/>
      <c r="D102" s="884"/>
      <c r="E102" s="884"/>
      <c r="F102" s="884"/>
      <c r="G102" s="884"/>
      <c r="H102" s="884"/>
      <c r="I102" s="884"/>
      <c r="J102" s="901"/>
      <c r="K102" s="901"/>
      <c r="L102" s="901"/>
      <c r="M102" s="901"/>
      <c r="N102" s="901"/>
      <c r="O102" s="901"/>
      <c r="P102" s="901"/>
      <c r="Q102" s="901"/>
      <c r="R102" s="901"/>
      <c r="S102" s="901"/>
      <c r="T102" s="901"/>
      <c r="U102" s="901"/>
      <c r="V102" s="901"/>
      <c r="W102" s="901"/>
      <c r="X102" s="901"/>
      <c r="Y102" s="901"/>
      <c r="Z102" s="901"/>
      <c r="AA102" s="901"/>
      <c r="AB102" s="901"/>
      <c r="AC102" s="901"/>
      <c r="AD102" s="901"/>
      <c r="AE102" s="901"/>
      <c r="AF102" s="901"/>
      <c r="AG102" s="901"/>
      <c r="AH102" s="901"/>
      <c r="AI102" s="902"/>
      <c r="AJ102" s="897" t="s">
        <v>176</v>
      </c>
      <c r="AK102" s="898"/>
      <c r="AL102" s="899"/>
      <c r="AM102" s="899"/>
      <c r="AN102" s="899"/>
      <c r="AO102" s="900"/>
    </row>
    <row r="103" spans="2:41" ht="21.6" customHeight="1" thickBot="1" x14ac:dyDescent="0.3">
      <c r="B103" s="880" t="s">
        <v>1768</v>
      </c>
      <c r="C103" s="881"/>
      <c r="D103" s="881"/>
      <c r="E103" s="881"/>
      <c r="F103" s="881"/>
      <c r="G103" s="881"/>
      <c r="H103" s="881"/>
      <c r="I103" s="881"/>
      <c r="J103" s="881"/>
      <c r="K103" s="881"/>
      <c r="L103" s="881"/>
      <c r="M103" s="881"/>
      <c r="N103" s="881"/>
      <c r="O103" s="881"/>
      <c r="P103" s="881"/>
      <c r="Q103" s="881"/>
      <c r="R103" s="881"/>
      <c r="S103" s="881"/>
      <c r="T103" s="881"/>
      <c r="U103" s="881"/>
      <c r="V103" s="881"/>
      <c r="W103" s="881"/>
      <c r="X103" s="881"/>
      <c r="Y103" s="881"/>
      <c r="Z103" s="881"/>
      <c r="AA103" s="881"/>
      <c r="AB103" s="881"/>
      <c r="AC103" s="881"/>
      <c r="AD103" s="881"/>
      <c r="AE103" s="881"/>
      <c r="AF103" s="881"/>
      <c r="AG103" s="881"/>
      <c r="AH103" s="881"/>
      <c r="AI103" s="881"/>
      <c r="AJ103" s="881"/>
      <c r="AK103" s="881"/>
      <c r="AL103" s="881"/>
      <c r="AM103" s="881"/>
      <c r="AN103" s="881"/>
      <c r="AO103" s="882"/>
    </row>
    <row r="104" spans="2:41" ht="21.6" customHeight="1" x14ac:dyDescent="0.25">
      <c r="B104" s="689"/>
      <c r="C104" s="689"/>
      <c r="D104" s="689"/>
      <c r="E104" s="689"/>
      <c r="F104" s="689"/>
      <c r="G104" s="689"/>
      <c r="H104" s="689"/>
      <c r="I104" s="689"/>
      <c r="J104" s="689"/>
      <c r="K104" s="689"/>
      <c r="L104" s="689"/>
      <c r="M104" s="689"/>
      <c r="N104" s="689"/>
      <c r="O104" s="689"/>
      <c r="P104" s="689"/>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89"/>
    </row>
    <row r="105" spans="2:41" ht="15.75" x14ac:dyDescent="0.25">
      <c r="B105" s="711" t="s">
        <v>1616</v>
      </c>
      <c r="C105" s="711"/>
      <c r="D105" s="711"/>
      <c r="E105" s="711"/>
      <c r="F105" s="711"/>
      <c r="G105" s="711"/>
      <c r="H105" s="711"/>
      <c r="I105" s="711"/>
      <c r="J105" s="711"/>
      <c r="K105" s="711"/>
      <c r="L105" s="711"/>
      <c r="M105" s="711"/>
      <c r="N105" s="711"/>
      <c r="O105" s="711"/>
      <c r="P105" s="711"/>
      <c r="Q105" s="711"/>
      <c r="R105" s="711"/>
      <c r="S105" s="711"/>
      <c r="T105" s="711"/>
      <c r="U105" s="711"/>
      <c r="V105" s="711"/>
      <c r="W105" s="711"/>
      <c r="X105" s="711"/>
      <c r="Y105" s="711"/>
      <c r="Z105" s="711"/>
      <c r="AA105" s="711"/>
      <c r="AB105" s="711"/>
      <c r="AC105" s="711"/>
      <c r="AD105" s="711"/>
      <c r="AE105" s="711"/>
      <c r="AF105" s="711"/>
      <c r="AG105" s="711"/>
      <c r="AH105" s="711"/>
      <c r="AI105" s="711"/>
      <c r="AJ105" s="711"/>
      <c r="AK105" s="711"/>
      <c r="AL105" s="711"/>
      <c r="AM105" s="711"/>
      <c r="AN105" s="711"/>
      <c r="AO105" s="711"/>
    </row>
    <row r="106" spans="2:41" x14ac:dyDescent="0.25">
      <c r="B106" s="712" t="s">
        <v>1617</v>
      </c>
      <c r="C106" s="712"/>
      <c r="D106" s="712"/>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2"/>
      <c r="AL106" s="712"/>
      <c r="AM106" s="712"/>
      <c r="AN106" s="712"/>
      <c r="AO106" s="4"/>
    </row>
    <row r="107" spans="2:41" ht="7.9" customHeight="1" x14ac:dyDescent="0.25">
      <c r="B107" s="557"/>
      <c r="C107" s="557"/>
      <c r="D107" s="557"/>
      <c r="E107" s="557"/>
      <c r="F107" s="557"/>
      <c r="G107" s="557"/>
      <c r="H107" s="557"/>
      <c r="I107" s="557"/>
      <c r="J107" s="557"/>
      <c r="K107" s="557"/>
      <c r="L107" s="557"/>
      <c r="M107" s="557"/>
      <c r="N107" s="557"/>
      <c r="O107" s="557"/>
      <c r="P107" s="557"/>
      <c r="Q107" s="557"/>
      <c r="R107" s="557"/>
      <c r="S107" s="557"/>
      <c r="T107" s="557"/>
      <c r="U107" s="557"/>
      <c r="V107" s="557"/>
      <c r="W107" s="557"/>
      <c r="X107" s="557"/>
      <c r="Y107" s="557"/>
      <c r="Z107" s="557"/>
      <c r="AA107" s="557"/>
      <c r="AB107" s="557"/>
      <c r="AC107" s="557"/>
      <c r="AD107" s="557"/>
      <c r="AE107" s="557"/>
      <c r="AF107" s="557"/>
      <c r="AG107" s="557"/>
      <c r="AH107" s="557"/>
      <c r="AI107" s="557"/>
      <c r="AJ107" s="557"/>
      <c r="AK107" s="557"/>
      <c r="AL107" s="557"/>
      <c r="AM107" s="557"/>
      <c r="AN107" s="557"/>
      <c r="AO107" s="4"/>
    </row>
    <row r="108" spans="2:41" x14ac:dyDescent="0.25">
      <c r="B108" s="713" t="s">
        <v>1739</v>
      </c>
      <c r="C108" s="713"/>
      <c r="D108" s="713"/>
      <c r="E108" s="713"/>
      <c r="F108" s="713"/>
      <c r="G108" s="713"/>
      <c r="H108" s="713"/>
      <c r="I108" s="713"/>
      <c r="J108" s="713"/>
      <c r="K108" s="713"/>
      <c r="L108" s="713"/>
      <c r="M108" s="713"/>
      <c r="N108" s="713"/>
      <c r="O108" s="713"/>
      <c r="P108" s="713"/>
      <c r="Q108" s="713"/>
      <c r="R108" s="713"/>
      <c r="S108" s="713"/>
      <c r="T108" s="713"/>
      <c r="U108" s="713"/>
      <c r="V108" s="713"/>
      <c r="W108" s="713"/>
      <c r="X108" s="713"/>
      <c r="Y108" s="713"/>
      <c r="Z108" s="713"/>
      <c r="AA108" s="713"/>
      <c r="AB108" s="713"/>
      <c r="AC108" s="713"/>
      <c r="AD108" s="713"/>
      <c r="AE108" s="713"/>
      <c r="AF108" s="713"/>
      <c r="AG108" s="713"/>
      <c r="AH108" s="713"/>
      <c r="AI108" s="713"/>
      <c r="AJ108" s="713"/>
      <c r="AK108" s="713"/>
      <c r="AL108" s="713"/>
      <c r="AM108" s="713"/>
      <c r="AN108" s="713"/>
      <c r="AO108" s="713"/>
    </row>
    <row r="109" spans="2:41" ht="168" customHeight="1" x14ac:dyDescent="0.25">
      <c r="B109" s="690" t="s">
        <v>1740</v>
      </c>
      <c r="C109" s="690"/>
      <c r="D109" s="690"/>
      <c r="E109" s="690"/>
      <c r="F109" s="690"/>
      <c r="G109" s="690"/>
      <c r="H109" s="690"/>
      <c r="I109" s="690"/>
      <c r="J109" s="690"/>
      <c r="K109" s="690"/>
      <c r="L109" s="690"/>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0"/>
    </row>
    <row r="110" spans="2:41" ht="12" customHeight="1" x14ac:dyDescent="0.25">
      <c r="B110" s="615" t="s">
        <v>1618</v>
      </c>
      <c r="C110" s="615"/>
      <c r="D110" s="615"/>
      <c r="E110" s="615"/>
      <c r="F110" s="615"/>
      <c r="G110" s="615"/>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row>
    <row r="111" spans="2:41" s="44" customFormat="1" ht="36" customHeight="1" x14ac:dyDescent="0.25">
      <c r="B111" s="690" t="s">
        <v>1741</v>
      </c>
      <c r="C111" s="690"/>
      <c r="D111" s="690"/>
      <c r="E111" s="690"/>
      <c r="F111" s="690"/>
      <c r="G111" s="690"/>
      <c r="H111" s="690"/>
      <c r="I111" s="690"/>
      <c r="J111" s="690"/>
      <c r="K111" s="690"/>
      <c r="L111" s="690"/>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0"/>
    </row>
    <row r="112" spans="2:41" s="2" customFormat="1" ht="36" customHeight="1" x14ac:dyDescent="0.25">
      <c r="B112" s="690" t="s">
        <v>1619</v>
      </c>
      <c r="C112" s="690"/>
      <c r="D112" s="690"/>
      <c r="E112" s="690"/>
      <c r="F112" s="690"/>
      <c r="G112" s="690"/>
      <c r="H112" s="690"/>
      <c r="I112" s="690"/>
      <c r="J112" s="690"/>
      <c r="K112" s="690"/>
      <c r="L112" s="690"/>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0"/>
    </row>
    <row r="113" spans="2:41" ht="60" customHeight="1" x14ac:dyDescent="0.25">
      <c r="B113" s="690" t="s">
        <v>1742</v>
      </c>
      <c r="C113" s="690"/>
      <c r="D113" s="690"/>
      <c r="E113" s="690"/>
      <c r="F113" s="690"/>
      <c r="G113" s="690"/>
      <c r="H113" s="690"/>
      <c r="I113" s="690"/>
      <c r="J113" s="690"/>
      <c r="K113" s="690"/>
      <c r="L113" s="690"/>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0"/>
    </row>
    <row r="114" spans="2:41" s="44" customFormat="1" ht="60" customHeight="1" x14ac:dyDescent="0.25">
      <c r="B114" s="690" t="s">
        <v>1743</v>
      </c>
      <c r="C114" s="690"/>
      <c r="D114" s="690"/>
      <c r="E114" s="690"/>
      <c r="F114" s="690"/>
      <c r="G114" s="690"/>
      <c r="H114" s="690"/>
      <c r="I114" s="690"/>
      <c r="J114" s="690"/>
      <c r="K114" s="690"/>
      <c r="L114" s="690"/>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0"/>
    </row>
    <row r="115" spans="2:41" s="44" customFormat="1" ht="72" customHeight="1" x14ac:dyDescent="0.25">
      <c r="B115" s="690" t="s">
        <v>1744</v>
      </c>
      <c r="C115" s="690"/>
      <c r="D115" s="690"/>
      <c r="E115" s="690"/>
      <c r="F115" s="690"/>
      <c r="G115" s="690"/>
      <c r="H115" s="690"/>
      <c r="I115" s="690"/>
      <c r="J115" s="690"/>
      <c r="K115" s="690"/>
      <c r="L115" s="690"/>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0"/>
    </row>
    <row r="116" spans="2:41" ht="60" customHeight="1" x14ac:dyDescent="0.25">
      <c r="B116" s="690" t="s">
        <v>1620</v>
      </c>
      <c r="C116" s="690"/>
      <c r="D116" s="690"/>
      <c r="E116" s="690"/>
      <c r="F116" s="690"/>
      <c r="G116" s="690"/>
      <c r="H116" s="690"/>
      <c r="I116" s="690"/>
      <c r="J116" s="690"/>
      <c r="K116" s="690"/>
      <c r="L116" s="690"/>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0"/>
    </row>
    <row r="117" spans="2:41" s="44" customFormat="1" ht="24" customHeight="1" x14ac:dyDescent="0.25">
      <c r="B117" s="690" t="s">
        <v>1745</v>
      </c>
      <c r="C117" s="690"/>
      <c r="D117" s="690"/>
      <c r="E117" s="690"/>
      <c r="F117" s="690"/>
      <c r="G117" s="690"/>
      <c r="H117" s="690"/>
      <c r="I117" s="690"/>
      <c r="J117" s="690"/>
      <c r="K117" s="690"/>
      <c r="L117" s="690"/>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0"/>
    </row>
    <row r="118" spans="2:41" ht="4.1500000000000004" customHeight="1" thickBot="1" x14ac:dyDescent="0.3">
      <c r="B118" s="710"/>
      <c r="C118" s="710"/>
      <c r="D118" s="710"/>
      <c r="E118" s="710"/>
      <c r="F118" s="710"/>
      <c r="G118" s="710"/>
      <c r="H118" s="710"/>
      <c r="I118" s="710"/>
      <c r="J118" s="710"/>
      <c r="K118" s="710"/>
      <c r="L118" s="710"/>
      <c r="M118" s="710"/>
      <c r="N118" s="710"/>
      <c r="O118" s="710"/>
      <c r="P118" s="710"/>
      <c r="Q118" s="710"/>
      <c r="R118" s="710"/>
      <c r="S118" s="710"/>
      <c r="T118" s="710"/>
      <c r="U118" s="710"/>
      <c r="V118" s="710"/>
      <c r="W118" s="710"/>
      <c r="X118" s="710"/>
      <c r="Y118" s="710"/>
      <c r="Z118" s="710"/>
      <c r="AA118" s="710"/>
      <c r="AB118" s="710"/>
      <c r="AC118" s="710"/>
      <c r="AD118" s="710"/>
      <c r="AE118" s="710"/>
      <c r="AF118" s="710"/>
      <c r="AG118" s="710"/>
      <c r="AH118" s="710"/>
      <c r="AI118" s="710"/>
      <c r="AJ118" s="710"/>
      <c r="AK118" s="710"/>
      <c r="AL118" s="710"/>
      <c r="AM118" s="710"/>
      <c r="AN118" s="710"/>
      <c r="AO118" s="710"/>
    </row>
    <row r="119" spans="2:41" ht="36" customHeight="1" x14ac:dyDescent="0.25">
      <c r="B119" s="714" t="s">
        <v>1746</v>
      </c>
      <c r="C119" s="714"/>
      <c r="D119" s="714"/>
      <c r="E119" s="714"/>
      <c r="F119" s="714"/>
      <c r="G119" s="714"/>
      <c r="H119" s="714"/>
      <c r="I119" s="714"/>
      <c r="J119" s="714"/>
      <c r="K119" s="714"/>
      <c r="L119" s="714"/>
      <c r="M119" s="714"/>
      <c r="N119" s="714"/>
      <c r="O119" s="714"/>
      <c r="P119" s="714"/>
      <c r="Q119" s="714"/>
      <c r="R119" s="714"/>
      <c r="S119" s="714"/>
      <c r="T119" s="714"/>
      <c r="U119" s="714"/>
      <c r="V119" s="714"/>
      <c r="W119" s="714"/>
      <c r="X119" s="714"/>
      <c r="Y119" s="714"/>
      <c r="Z119" s="714"/>
      <c r="AA119" s="714"/>
      <c r="AB119" s="714"/>
      <c r="AC119" s="714"/>
      <c r="AD119" s="714"/>
      <c r="AE119" s="714"/>
      <c r="AF119" s="714"/>
      <c r="AG119" s="714"/>
      <c r="AH119" s="714"/>
      <c r="AI119" s="715" t="s">
        <v>1738</v>
      </c>
      <c r="AJ119" s="715"/>
      <c r="AK119" s="715"/>
      <c r="AL119" s="715"/>
      <c r="AM119" s="715"/>
      <c r="AN119" s="715"/>
      <c r="AO119" s="715"/>
    </row>
  </sheetData>
  <sheetProtection algorithmName="SHA-512" hashValue="1N6mtHOJ96N2qDjW08gID2H1VoV8h9wcErZ17/zKu/Wru+yn2Z3QCeG9FzvaY4q5OpZuiqhjvvwRPfSPoA895Q==" saltValue="M3/gAFGdLki0XZQjq+iA9Q==" spinCount="100000" sheet="1" selectLockedCells="1"/>
  <mergeCells count="615">
    <mergeCell ref="AD71:AG71"/>
    <mergeCell ref="AL78:AO78"/>
    <mergeCell ref="D74:AA74"/>
    <mergeCell ref="AB74:AC74"/>
    <mergeCell ref="D75:AA75"/>
    <mergeCell ref="AB75:AC75"/>
    <mergeCell ref="AD75:AG75"/>
    <mergeCell ref="AH75:AK75"/>
    <mergeCell ref="AL75:AO75"/>
    <mergeCell ref="AD74:AG74"/>
    <mergeCell ref="D71:AA71"/>
    <mergeCell ref="AB71:AC71"/>
    <mergeCell ref="AH71:AK71"/>
    <mergeCell ref="D78:AA78"/>
    <mergeCell ref="AB78:AC78"/>
    <mergeCell ref="AD78:AG78"/>
    <mergeCell ref="AH78:AK78"/>
    <mergeCell ref="AH74:AK74"/>
    <mergeCell ref="AL74:AO74"/>
    <mergeCell ref="AQ89:AS89"/>
    <mergeCell ref="B6:L6"/>
    <mergeCell ref="M6:Y6"/>
    <mergeCell ref="Z6:AA6"/>
    <mergeCell ref="AB6:AN6"/>
    <mergeCell ref="B70:C70"/>
    <mergeCell ref="D70:AA70"/>
    <mergeCell ref="AB70:AC70"/>
    <mergeCell ref="AD70:AG70"/>
    <mergeCell ref="AL70:AO70"/>
    <mergeCell ref="AL79:AO79"/>
    <mergeCell ref="AH79:AK79"/>
    <mergeCell ref="AD79:AG79"/>
    <mergeCell ref="B79:AC79"/>
    <mergeCell ref="D77:AA77"/>
    <mergeCell ref="AB77:AC77"/>
    <mergeCell ref="AD77:AG77"/>
    <mergeCell ref="AH77:AK77"/>
    <mergeCell ref="B61:C61"/>
    <mergeCell ref="B62:C62"/>
    <mergeCell ref="B59:C59"/>
    <mergeCell ref="B60:C60"/>
    <mergeCell ref="D59:AA59"/>
    <mergeCell ref="AL77:AO77"/>
    <mergeCell ref="D65:AA65"/>
    <mergeCell ref="AB65:AC65"/>
    <mergeCell ref="AD65:AG65"/>
    <mergeCell ref="AH65:AK65"/>
    <mergeCell ref="AL65:AO65"/>
    <mergeCell ref="D69:AA69"/>
    <mergeCell ref="AB69:AC69"/>
    <mergeCell ref="AD69:AG69"/>
    <mergeCell ref="AH69:AK69"/>
    <mergeCell ref="AL69:AO69"/>
    <mergeCell ref="B68:AO68"/>
    <mergeCell ref="B69:C69"/>
    <mergeCell ref="B66:AC66"/>
    <mergeCell ref="AD66:AG66"/>
    <mergeCell ref="AH66:AK66"/>
    <mergeCell ref="AL66:AO66"/>
    <mergeCell ref="B2:AO2"/>
    <mergeCell ref="N44:O44"/>
    <mergeCell ref="N46:O46"/>
    <mergeCell ref="N48:O48"/>
    <mergeCell ref="N51:O51"/>
    <mergeCell ref="B5:O5"/>
    <mergeCell ref="P5:X5"/>
    <mergeCell ref="Y5:AD5"/>
    <mergeCell ref="AF5:AH5"/>
    <mergeCell ref="AI5:AO5"/>
    <mergeCell ref="AG51:AH51"/>
    <mergeCell ref="AI51:AK51"/>
    <mergeCell ref="AL51:AM51"/>
    <mergeCell ref="AN51:AO51"/>
    <mergeCell ref="AI48:AK48"/>
    <mergeCell ref="AL48:AM48"/>
    <mergeCell ref="AN48:AO48"/>
    <mergeCell ref="H40:M40"/>
    <mergeCell ref="B50:C52"/>
    <mergeCell ref="D50:M50"/>
    <mergeCell ref="N50:P50"/>
    <mergeCell ref="Q50:S50"/>
    <mergeCell ref="T50:W50"/>
    <mergeCell ref="X50:AC50"/>
    <mergeCell ref="B90:AO90"/>
    <mergeCell ref="B91:C91"/>
    <mergeCell ref="D91:P91"/>
    <mergeCell ref="Q91:R91"/>
    <mergeCell ref="S91:AB91"/>
    <mergeCell ref="AC91:AD91"/>
    <mergeCell ref="AE91:AO91"/>
    <mergeCell ref="B103:AO103"/>
    <mergeCell ref="B102:I102"/>
    <mergeCell ref="B97:I97"/>
    <mergeCell ref="B99:AO99"/>
    <mergeCell ref="B100:AO100"/>
    <mergeCell ref="B92:AO92"/>
    <mergeCell ref="B93:AO93"/>
    <mergeCell ref="B94:AO94"/>
    <mergeCell ref="B95:AO95"/>
    <mergeCell ref="AJ97:AK97"/>
    <mergeCell ref="AL97:AO97"/>
    <mergeCell ref="J97:AI97"/>
    <mergeCell ref="J102:AI102"/>
    <mergeCell ref="AJ102:AK102"/>
    <mergeCell ref="AL102:AO102"/>
    <mergeCell ref="B98:AO98"/>
    <mergeCell ref="B101:F101"/>
    <mergeCell ref="B89:AJ89"/>
    <mergeCell ref="AK89:AO89"/>
    <mergeCell ref="AF83:AJ83"/>
    <mergeCell ref="AK83:AO83"/>
    <mergeCell ref="B84:AJ84"/>
    <mergeCell ref="AK84:AO84"/>
    <mergeCell ref="B85:AJ85"/>
    <mergeCell ref="AK85:AO85"/>
    <mergeCell ref="B83:G83"/>
    <mergeCell ref="H83:K83"/>
    <mergeCell ref="L83:R83"/>
    <mergeCell ref="S83:V83"/>
    <mergeCell ref="W83:AA83"/>
    <mergeCell ref="AB83:AE83"/>
    <mergeCell ref="B86:AJ86"/>
    <mergeCell ref="AK86:AO86"/>
    <mergeCell ref="AK87:AO87"/>
    <mergeCell ref="G101:R101"/>
    <mergeCell ref="S101:V101"/>
    <mergeCell ref="W101:AI101"/>
    <mergeCell ref="AJ101:AK101"/>
    <mergeCell ref="AL101:AO101"/>
    <mergeCell ref="B65:C65"/>
    <mergeCell ref="B63:C63"/>
    <mergeCell ref="B64:C64"/>
    <mergeCell ref="D63:AA63"/>
    <mergeCell ref="AB63:AC63"/>
    <mergeCell ref="AD63:AG63"/>
    <mergeCell ref="AH63:AK63"/>
    <mergeCell ref="AL63:AO63"/>
    <mergeCell ref="D64:AA64"/>
    <mergeCell ref="AB64:AC64"/>
    <mergeCell ref="AD64:AG64"/>
    <mergeCell ref="AH64:AK64"/>
    <mergeCell ref="AL64:AO64"/>
    <mergeCell ref="S82:V82"/>
    <mergeCell ref="W82:AA82"/>
    <mergeCell ref="AB82:AE82"/>
    <mergeCell ref="AF82:AJ82"/>
    <mergeCell ref="AK82:AO82"/>
    <mergeCell ref="B87:AJ87"/>
    <mergeCell ref="AB59:AC59"/>
    <mergeCell ref="AD59:AG59"/>
    <mergeCell ref="AH59:AK59"/>
    <mergeCell ref="AL59:AO59"/>
    <mergeCell ref="D60:AA60"/>
    <mergeCell ref="AB60:AC60"/>
    <mergeCell ref="AD60:AG60"/>
    <mergeCell ref="AH60:AK60"/>
    <mergeCell ref="AL60:AO60"/>
    <mergeCell ref="D61:AA61"/>
    <mergeCell ref="AB61:AC61"/>
    <mergeCell ref="AD61:AG61"/>
    <mergeCell ref="AH61:AK61"/>
    <mergeCell ref="AL61:AO61"/>
    <mergeCell ref="D62:AA62"/>
    <mergeCell ref="AB62:AC62"/>
    <mergeCell ref="AD62:AG62"/>
    <mergeCell ref="AH62:AK62"/>
    <mergeCell ref="AL62:AO62"/>
    <mergeCell ref="B57:C57"/>
    <mergeCell ref="B58:C58"/>
    <mergeCell ref="B53:W53"/>
    <mergeCell ref="X53:AC53"/>
    <mergeCell ref="AD53:AI53"/>
    <mergeCell ref="AJ53:AO53"/>
    <mergeCell ref="B55:AO55"/>
    <mergeCell ref="B56:C56"/>
    <mergeCell ref="B54:AO54"/>
    <mergeCell ref="AL56:AO56"/>
    <mergeCell ref="AH56:AK56"/>
    <mergeCell ref="AD56:AG56"/>
    <mergeCell ref="AB56:AC56"/>
    <mergeCell ref="D56:AA56"/>
    <mergeCell ref="D57:AA57"/>
    <mergeCell ref="AB57:AC57"/>
    <mergeCell ref="AD57:AG57"/>
    <mergeCell ref="AH57:AK57"/>
    <mergeCell ref="AL57:AO57"/>
    <mergeCell ref="D58:AA58"/>
    <mergeCell ref="AB58:AC58"/>
    <mergeCell ref="AD58:AG58"/>
    <mergeCell ref="AH58:AK58"/>
    <mergeCell ref="AL58:AO58"/>
    <mergeCell ref="AJ47:AO47"/>
    <mergeCell ref="D48:G48"/>
    <mergeCell ref="H48:M48"/>
    <mergeCell ref="P48:U48"/>
    <mergeCell ref="V48:W48"/>
    <mergeCell ref="X48:AA48"/>
    <mergeCell ref="AB48:AC48"/>
    <mergeCell ref="AD48:AF48"/>
    <mergeCell ref="AG48:AH48"/>
    <mergeCell ref="AD47:AI47"/>
    <mergeCell ref="B47:C49"/>
    <mergeCell ref="D47:M47"/>
    <mergeCell ref="N47:P47"/>
    <mergeCell ref="Q47:S47"/>
    <mergeCell ref="T47:W47"/>
    <mergeCell ref="X47:AC47"/>
    <mergeCell ref="D46:G46"/>
    <mergeCell ref="H46:M46"/>
    <mergeCell ref="P46:U46"/>
    <mergeCell ref="V46:W46"/>
    <mergeCell ref="X46:AA46"/>
    <mergeCell ref="AB46:AC46"/>
    <mergeCell ref="D49:I49"/>
    <mergeCell ref="J49:M49"/>
    <mergeCell ref="N49:U49"/>
    <mergeCell ref="V49:Y49"/>
    <mergeCell ref="Z49:AC49"/>
    <mergeCell ref="AI44:AK44"/>
    <mergeCell ref="AL44:AN44"/>
    <mergeCell ref="B45:C46"/>
    <mergeCell ref="D45:M45"/>
    <mergeCell ref="N45:P45"/>
    <mergeCell ref="Q45:S45"/>
    <mergeCell ref="T45:W45"/>
    <mergeCell ref="X45:AC45"/>
    <mergeCell ref="AD45:AI45"/>
    <mergeCell ref="AJ45:AO45"/>
    <mergeCell ref="B43:C44"/>
    <mergeCell ref="AD46:AE46"/>
    <mergeCell ref="AF46:AH46"/>
    <mergeCell ref="AI46:AK46"/>
    <mergeCell ref="AL46:AN46"/>
    <mergeCell ref="D44:G44"/>
    <mergeCell ref="H44:M44"/>
    <mergeCell ref="P44:U44"/>
    <mergeCell ref="V44:W44"/>
    <mergeCell ref="X44:AA44"/>
    <mergeCell ref="AB44:AC44"/>
    <mergeCell ref="AD44:AE44"/>
    <mergeCell ref="AF44:AH44"/>
    <mergeCell ref="D43:M43"/>
    <mergeCell ref="AD43:AI43"/>
    <mergeCell ref="AJ43:AO43"/>
    <mergeCell ref="B41:C42"/>
    <mergeCell ref="D41:M41"/>
    <mergeCell ref="N41:P41"/>
    <mergeCell ref="Q41:S41"/>
    <mergeCell ref="T41:W41"/>
    <mergeCell ref="X41:AC41"/>
    <mergeCell ref="N43:P43"/>
    <mergeCell ref="Q43:S43"/>
    <mergeCell ref="T43:W43"/>
    <mergeCell ref="X43:AC43"/>
    <mergeCell ref="H42:K42"/>
    <mergeCell ref="L42:O42"/>
    <mergeCell ref="P42:T42"/>
    <mergeCell ref="B39:C40"/>
    <mergeCell ref="D39:M39"/>
    <mergeCell ref="N39:P39"/>
    <mergeCell ref="Q39:S39"/>
    <mergeCell ref="T39:W39"/>
    <mergeCell ref="X39:AC39"/>
    <mergeCell ref="AD41:AI41"/>
    <mergeCell ref="AJ41:AO41"/>
    <mergeCell ref="D42:G42"/>
    <mergeCell ref="AD39:AI39"/>
    <mergeCell ref="AJ39:AO39"/>
    <mergeCell ref="AK42:AM42"/>
    <mergeCell ref="AB42:AG42"/>
    <mergeCell ref="W42:AA42"/>
    <mergeCell ref="U42:V42"/>
    <mergeCell ref="AD40:AJ40"/>
    <mergeCell ref="AB40:AC40"/>
    <mergeCell ref="T40:AA40"/>
    <mergeCell ref="N40:S40"/>
    <mergeCell ref="D40:G40"/>
    <mergeCell ref="AN42:AO42"/>
    <mergeCell ref="AN40:AO40"/>
    <mergeCell ref="AK40:AM40"/>
    <mergeCell ref="AH42:AJ42"/>
    <mergeCell ref="B37:C38"/>
    <mergeCell ref="D37:M37"/>
    <mergeCell ref="N37:P37"/>
    <mergeCell ref="Q37:S37"/>
    <mergeCell ref="T37:W37"/>
    <mergeCell ref="X37:AC37"/>
    <mergeCell ref="AD37:AI37"/>
    <mergeCell ref="AJ37:AO37"/>
    <mergeCell ref="N38:Q38"/>
    <mergeCell ref="R38:W38"/>
    <mergeCell ref="X38:AA38"/>
    <mergeCell ref="AB38:AH38"/>
    <mergeCell ref="AI38:AJ38"/>
    <mergeCell ref="AK38:AO38"/>
    <mergeCell ref="D38:M38"/>
    <mergeCell ref="AJ34:AO34"/>
    <mergeCell ref="B35:C36"/>
    <mergeCell ref="D35:M35"/>
    <mergeCell ref="N35:P35"/>
    <mergeCell ref="Q35:S35"/>
    <mergeCell ref="T35:W35"/>
    <mergeCell ref="X35:AC35"/>
    <mergeCell ref="AD35:AI35"/>
    <mergeCell ref="AJ35:AO35"/>
    <mergeCell ref="B34:C34"/>
    <mergeCell ref="D34:M34"/>
    <mergeCell ref="N34:S34"/>
    <mergeCell ref="T34:W34"/>
    <mergeCell ref="X34:AC34"/>
    <mergeCell ref="AD34:AI34"/>
    <mergeCell ref="X36:AA36"/>
    <mergeCell ref="AB36:AH36"/>
    <mergeCell ref="AI36:AJ36"/>
    <mergeCell ref="AK36:AO36"/>
    <mergeCell ref="N36:Q36"/>
    <mergeCell ref="R36:W36"/>
    <mergeCell ref="D36:M36"/>
    <mergeCell ref="B32:AO32"/>
    <mergeCell ref="B33:AO33"/>
    <mergeCell ref="AD29:AI29"/>
    <mergeCell ref="AJ29:AO29"/>
    <mergeCell ref="D30:M30"/>
    <mergeCell ref="N30:O30"/>
    <mergeCell ref="P30:V30"/>
    <mergeCell ref="W30:X30"/>
    <mergeCell ref="Y30:AE30"/>
    <mergeCell ref="AF30:AG30"/>
    <mergeCell ref="AH30:AJ30"/>
    <mergeCell ref="AK30:AO30"/>
    <mergeCell ref="B29:C30"/>
    <mergeCell ref="D29:M29"/>
    <mergeCell ref="N29:P29"/>
    <mergeCell ref="Q29:S29"/>
    <mergeCell ref="T29:W29"/>
    <mergeCell ref="X29:AC29"/>
    <mergeCell ref="B31:W31"/>
    <mergeCell ref="X31:AC31"/>
    <mergeCell ref="AD31:AI31"/>
    <mergeCell ref="AJ31:AO31"/>
    <mergeCell ref="D26:W26"/>
    <mergeCell ref="X26:Z26"/>
    <mergeCell ref="AA26:AB26"/>
    <mergeCell ref="AC26:AE26"/>
    <mergeCell ref="AF26:AG26"/>
    <mergeCell ref="AH26:AJ26"/>
    <mergeCell ref="AK26:AO26"/>
    <mergeCell ref="B27:C28"/>
    <mergeCell ref="D27:M27"/>
    <mergeCell ref="N27:P27"/>
    <mergeCell ref="Q27:S27"/>
    <mergeCell ref="T27:W27"/>
    <mergeCell ref="X27:AC27"/>
    <mergeCell ref="B25:C26"/>
    <mergeCell ref="D25:M25"/>
    <mergeCell ref="N25:P25"/>
    <mergeCell ref="Q25:S25"/>
    <mergeCell ref="T25:W25"/>
    <mergeCell ref="X25:AC25"/>
    <mergeCell ref="X28:Z28"/>
    <mergeCell ref="AA28:AB28"/>
    <mergeCell ref="AC28:AE28"/>
    <mergeCell ref="AF28:AG28"/>
    <mergeCell ref="AH28:AJ28"/>
    <mergeCell ref="AK28:AO28"/>
    <mergeCell ref="AH22:AJ22"/>
    <mergeCell ref="AK22:AO22"/>
    <mergeCell ref="X23:AC23"/>
    <mergeCell ref="AD23:AI23"/>
    <mergeCell ref="X22:Z22"/>
    <mergeCell ref="AA22:AB22"/>
    <mergeCell ref="AC22:AE22"/>
    <mergeCell ref="AD27:AI27"/>
    <mergeCell ref="AJ27:AO27"/>
    <mergeCell ref="AD25:AI25"/>
    <mergeCell ref="AJ25:AO25"/>
    <mergeCell ref="D24:M24"/>
    <mergeCell ref="N24:S24"/>
    <mergeCell ref="T24:W24"/>
    <mergeCell ref="B23:C24"/>
    <mergeCell ref="D23:M23"/>
    <mergeCell ref="N23:P23"/>
    <mergeCell ref="Q23:S23"/>
    <mergeCell ref="T23:W23"/>
    <mergeCell ref="AJ23:AO23"/>
    <mergeCell ref="X24:Z24"/>
    <mergeCell ref="AA24:AB24"/>
    <mergeCell ref="AC24:AE24"/>
    <mergeCell ref="AF24:AG24"/>
    <mergeCell ref="AH24:AJ24"/>
    <mergeCell ref="AK24:AO24"/>
    <mergeCell ref="N20:O20"/>
    <mergeCell ref="P20:Q20"/>
    <mergeCell ref="AH20:AJ20"/>
    <mergeCell ref="AK20:AO20"/>
    <mergeCell ref="B21:C22"/>
    <mergeCell ref="D21:M21"/>
    <mergeCell ref="N21:P21"/>
    <mergeCell ref="Q21:S21"/>
    <mergeCell ref="T21:W21"/>
    <mergeCell ref="X21:AC21"/>
    <mergeCell ref="AD21:AI21"/>
    <mergeCell ref="AJ21:AO21"/>
    <mergeCell ref="R20:T20"/>
    <mergeCell ref="U20:W20"/>
    <mergeCell ref="X20:Z20"/>
    <mergeCell ref="AA20:AB20"/>
    <mergeCell ref="AC20:AE20"/>
    <mergeCell ref="AF20:AG20"/>
    <mergeCell ref="D22:W22"/>
    <mergeCell ref="AF22:AG22"/>
    <mergeCell ref="B18:C20"/>
    <mergeCell ref="D18:M18"/>
    <mergeCell ref="N18:P18"/>
    <mergeCell ref="Q18:S18"/>
    <mergeCell ref="T18:W18"/>
    <mergeCell ref="X18:AC18"/>
    <mergeCell ref="AD18:AI18"/>
    <mergeCell ref="AJ18:AO18"/>
    <mergeCell ref="E19:G19"/>
    <mergeCell ref="H19:I19"/>
    <mergeCell ref="J19:M19"/>
    <mergeCell ref="N19:O19"/>
    <mergeCell ref="P19:Q19"/>
    <mergeCell ref="R19:T19"/>
    <mergeCell ref="U19:W19"/>
    <mergeCell ref="X19:Z19"/>
    <mergeCell ref="AA19:AB19"/>
    <mergeCell ref="AC19:AE19"/>
    <mergeCell ref="AF19:AG19"/>
    <mergeCell ref="AH19:AJ19"/>
    <mergeCell ref="AK19:AO19"/>
    <mergeCell ref="E20:G20"/>
    <mergeCell ref="H20:I20"/>
    <mergeCell ref="J20:M20"/>
    <mergeCell ref="B10:C11"/>
    <mergeCell ref="AK13:AO13"/>
    <mergeCell ref="E14:G14"/>
    <mergeCell ref="H14:I14"/>
    <mergeCell ref="J14:M14"/>
    <mergeCell ref="N14:O14"/>
    <mergeCell ref="P14:Q14"/>
    <mergeCell ref="R14:T14"/>
    <mergeCell ref="U14:W14"/>
    <mergeCell ref="X14:Z14"/>
    <mergeCell ref="AA14:AB14"/>
    <mergeCell ref="U13:W13"/>
    <mergeCell ref="X13:Z13"/>
    <mergeCell ref="AA13:AB13"/>
    <mergeCell ref="AC13:AE13"/>
    <mergeCell ref="AF13:AG13"/>
    <mergeCell ref="E13:G13"/>
    <mergeCell ref="H13:I13"/>
    <mergeCell ref="J13:M13"/>
    <mergeCell ref="N13:O13"/>
    <mergeCell ref="P13:Q13"/>
    <mergeCell ref="B12:C14"/>
    <mergeCell ref="D12:M12"/>
    <mergeCell ref="N12:P12"/>
    <mergeCell ref="Q12:S12"/>
    <mergeCell ref="T12:W12"/>
    <mergeCell ref="X12:AC12"/>
    <mergeCell ref="AD12:AI12"/>
    <mergeCell ref="AJ12:AO12"/>
    <mergeCell ref="AH14:AJ14"/>
    <mergeCell ref="AK14:AO14"/>
    <mergeCell ref="D11:F11"/>
    <mergeCell ref="G11:I11"/>
    <mergeCell ref="J11:L11"/>
    <mergeCell ref="M11:O11"/>
    <mergeCell ref="P11:S11"/>
    <mergeCell ref="U11:V11"/>
    <mergeCell ref="X11:AA11"/>
    <mergeCell ref="AC11:AF11"/>
    <mergeCell ref="D10:M10"/>
    <mergeCell ref="N10:P10"/>
    <mergeCell ref="Q10:S10"/>
    <mergeCell ref="T10:W10"/>
    <mergeCell ref="X10:AC10"/>
    <mergeCell ref="R16:T16"/>
    <mergeCell ref="U16:W16"/>
    <mergeCell ref="AD15:AI15"/>
    <mergeCell ref="AJ15:AO15"/>
    <mergeCell ref="T9:W9"/>
    <mergeCell ref="X9:AC9"/>
    <mergeCell ref="AD9:AI9"/>
    <mergeCell ref="AJ9:AO9"/>
    <mergeCell ref="AD10:AI10"/>
    <mergeCell ref="AJ10:AO10"/>
    <mergeCell ref="AH11:AL11"/>
    <mergeCell ref="AN11:AO11"/>
    <mergeCell ref="R13:T13"/>
    <mergeCell ref="AC14:AE14"/>
    <mergeCell ref="AF14:AG14"/>
    <mergeCell ref="AH13:AJ13"/>
    <mergeCell ref="B1:AO1"/>
    <mergeCell ref="B3:AO3"/>
    <mergeCell ref="B4:AD4"/>
    <mergeCell ref="AE4:AO4"/>
    <mergeCell ref="V28:W28"/>
    <mergeCell ref="R28:S28"/>
    <mergeCell ref="L28:M28"/>
    <mergeCell ref="D28:G28"/>
    <mergeCell ref="H28:K28"/>
    <mergeCell ref="N28:Q28"/>
    <mergeCell ref="T28:U28"/>
    <mergeCell ref="B7:AO7"/>
    <mergeCell ref="B8:AO8"/>
    <mergeCell ref="B9:C9"/>
    <mergeCell ref="D9:M9"/>
    <mergeCell ref="N9:S9"/>
    <mergeCell ref="B15:C17"/>
    <mergeCell ref="X16:Z16"/>
    <mergeCell ref="AA16:AB16"/>
    <mergeCell ref="D15:M15"/>
    <mergeCell ref="N15:P15"/>
    <mergeCell ref="Q15:S15"/>
    <mergeCell ref="T15:W15"/>
    <mergeCell ref="X15:AC15"/>
    <mergeCell ref="L82:R82"/>
    <mergeCell ref="AH70:AK70"/>
    <mergeCell ref="B67:AO67"/>
    <mergeCell ref="B80:AO80"/>
    <mergeCell ref="AL96:AO96"/>
    <mergeCell ref="AJ96:AK96"/>
    <mergeCell ref="B96:F96"/>
    <mergeCell ref="B74:C74"/>
    <mergeCell ref="B75:C75"/>
    <mergeCell ref="B76:C76"/>
    <mergeCell ref="D76:AA76"/>
    <mergeCell ref="AB76:AC76"/>
    <mergeCell ref="AD76:AG76"/>
    <mergeCell ref="AH76:AK76"/>
    <mergeCell ref="AL76:AO76"/>
    <mergeCell ref="G96:R96"/>
    <mergeCell ref="S96:V96"/>
    <mergeCell ref="W96:AI96"/>
    <mergeCell ref="B77:C77"/>
    <mergeCell ref="B78:C78"/>
    <mergeCell ref="B81:AO81"/>
    <mergeCell ref="B82:G82"/>
    <mergeCell ref="B88:AJ88"/>
    <mergeCell ref="AK88:AO88"/>
    <mergeCell ref="B119:AH119"/>
    <mergeCell ref="AI119:AO119"/>
    <mergeCell ref="AC16:AE16"/>
    <mergeCell ref="AF16:AG16"/>
    <mergeCell ref="AH16:AJ16"/>
    <mergeCell ref="AK16:AO16"/>
    <mergeCell ref="E17:G17"/>
    <mergeCell ref="H17:I17"/>
    <mergeCell ref="J17:M17"/>
    <mergeCell ref="AK17:AO17"/>
    <mergeCell ref="N17:O17"/>
    <mergeCell ref="P17:Q17"/>
    <mergeCell ref="R17:T17"/>
    <mergeCell ref="U17:W17"/>
    <mergeCell ref="X17:Z17"/>
    <mergeCell ref="AA17:AB17"/>
    <mergeCell ref="AC17:AE17"/>
    <mergeCell ref="AF17:AG17"/>
    <mergeCell ref="AH17:AJ17"/>
    <mergeCell ref="E16:G16"/>
    <mergeCell ref="H16:I16"/>
    <mergeCell ref="J16:M16"/>
    <mergeCell ref="N16:O16"/>
    <mergeCell ref="P16:Q16"/>
    <mergeCell ref="B112:AO112"/>
    <mergeCell ref="B113:AO113"/>
    <mergeCell ref="B114:AO114"/>
    <mergeCell ref="B115:AO115"/>
    <mergeCell ref="B116:AO116"/>
    <mergeCell ref="B117:AO117"/>
    <mergeCell ref="B118:AO118"/>
    <mergeCell ref="B105:AO105"/>
    <mergeCell ref="B106:AN106"/>
    <mergeCell ref="B107:AN107"/>
    <mergeCell ref="B108:AO108"/>
    <mergeCell ref="B109:AO109"/>
    <mergeCell ref="B110:AO110"/>
    <mergeCell ref="AE49:AJ49"/>
    <mergeCell ref="AK49:AN49"/>
    <mergeCell ref="B104:AO104"/>
    <mergeCell ref="B111:AO111"/>
    <mergeCell ref="H82:K82"/>
    <mergeCell ref="B71:C71"/>
    <mergeCell ref="B72:C72"/>
    <mergeCell ref="B73:C73"/>
    <mergeCell ref="AL71:AO71"/>
    <mergeCell ref="D72:AA72"/>
    <mergeCell ref="AB72:AC72"/>
    <mergeCell ref="AD72:AG72"/>
    <mergeCell ref="AH72:AK72"/>
    <mergeCell ref="AL72:AO72"/>
    <mergeCell ref="D73:AA73"/>
    <mergeCell ref="AB73:AC73"/>
    <mergeCell ref="AD73:AG73"/>
    <mergeCell ref="AH73:AK73"/>
    <mergeCell ref="AL73:AO73"/>
    <mergeCell ref="D52:I52"/>
    <mergeCell ref="J52:M52"/>
    <mergeCell ref="N52:U52"/>
    <mergeCell ref="V52:Y52"/>
    <mergeCell ref="Z52:AC52"/>
    <mergeCell ref="AE52:AJ52"/>
    <mergeCell ref="AK52:AN52"/>
    <mergeCell ref="AD50:AI50"/>
    <mergeCell ref="AJ50:AO50"/>
    <mergeCell ref="D51:G51"/>
    <mergeCell ref="H51:M51"/>
    <mergeCell ref="P51:U51"/>
    <mergeCell ref="V51:W51"/>
    <mergeCell ref="X51:AA51"/>
    <mergeCell ref="AB51:AC51"/>
    <mergeCell ref="AD51:AF51"/>
  </mergeCells>
  <conditionalFormatting sqref="B18:C28">
    <cfRule type="expression" dxfId="103" priority="80">
      <formula>AND(NOT(ISBLANK(X18)),ISBLANK(B18))</formula>
    </cfRule>
  </conditionalFormatting>
  <conditionalFormatting sqref="B29:C30">
    <cfRule type="expression" dxfId="102" priority="78">
      <formula>AND(NOT(ISBLANK(X29)),ISBLANK(B29))</formula>
    </cfRule>
  </conditionalFormatting>
  <conditionalFormatting sqref="B35:C51 B10:C17">
    <cfRule type="expression" dxfId="101" priority="42">
      <formula>AND(NOT(ISBLANK(X10)),ISBLANK(B10))</formula>
    </cfRule>
  </conditionalFormatting>
  <conditionalFormatting sqref="B52:C52">
    <cfRule type="expression" dxfId="100" priority="141">
      <formula>AND(NOT(ISBLANK(#REF!)),ISBLANK(B52))</formula>
    </cfRule>
  </conditionalFormatting>
  <conditionalFormatting sqref="B57:C65">
    <cfRule type="expression" dxfId="99" priority="62">
      <formula>AND(NOT(ISBLANK(AD57)),ISBLANK(B57))</formula>
    </cfRule>
  </conditionalFormatting>
  <conditionalFormatting sqref="B70:C78">
    <cfRule type="expression" dxfId="98" priority="53">
      <formula>AND(NOT(ISBLANK(AD70)),ISBLANK(B70))</formula>
    </cfRule>
  </conditionalFormatting>
  <conditionalFormatting sqref="B91:C91 Q91:R91 AC91:AD91">
    <cfRule type="containsBlanks" dxfId="97" priority="139">
      <formula>LEN(TRIM(B91))=0</formula>
    </cfRule>
  </conditionalFormatting>
  <conditionalFormatting sqref="N30:O30">
    <cfRule type="expression" dxfId="91" priority="119">
      <formula>OR($N$30="0%",$N$30="&lt; 25%",$N$30="&lt; 50%")</formula>
    </cfRule>
  </conditionalFormatting>
  <conditionalFormatting sqref="AA13:AB14">
    <cfRule type="cellIs" dxfId="86" priority="128" operator="greaterThan">
      <formula>11</formula>
    </cfRule>
  </conditionalFormatting>
  <conditionalFormatting sqref="AA16:AB17">
    <cfRule type="cellIs" dxfId="85" priority="43" operator="between">
      <formula>1</formula>
      <formula>11</formula>
    </cfRule>
    <cfRule type="cellIs" dxfId="84" priority="44" operator="greaterThan">
      <formula>19</formula>
    </cfRule>
  </conditionalFormatting>
  <conditionalFormatting sqref="AA19:AB20">
    <cfRule type="cellIs" dxfId="83" priority="126" operator="between">
      <formula>1</formula>
      <formula>19</formula>
    </cfRule>
    <cfRule type="cellIs" dxfId="82" priority="127" operator="greaterThan">
      <formula>30</formula>
    </cfRule>
  </conditionalFormatting>
  <conditionalFormatting sqref="AA22:AB22">
    <cfRule type="cellIs" dxfId="81" priority="116" operator="greaterThan">
      <formula>0</formula>
    </cfRule>
  </conditionalFormatting>
  <conditionalFormatting sqref="AA26:AB26 AA28:AB28 AA24:AB24">
    <cfRule type="cellIs" dxfId="80" priority="123" operator="greaterThan">
      <formula>0</formula>
    </cfRule>
  </conditionalFormatting>
  <conditionalFormatting sqref="AD44:AE44">
    <cfRule type="expression" dxfId="76" priority="106">
      <formula>AND($AD$44&lt;95,$T$43=1)</formula>
    </cfRule>
  </conditionalFormatting>
  <conditionalFormatting sqref="AD46:AE46">
    <cfRule type="expression" dxfId="74" priority="93">
      <formula>AND($AD$46&lt;95,$T$45=1)</formula>
    </cfRule>
  </conditionalFormatting>
  <conditionalFormatting sqref="AF13:AG14 AF16:AG17 AF19:AG20">
    <cfRule type="cellIs" dxfId="66" priority="129" operator="between">
      <formula>1</formula>
      <formula>48</formula>
    </cfRule>
  </conditionalFormatting>
  <conditionalFormatting sqref="AF22:AG22">
    <cfRule type="cellIs" dxfId="65" priority="115" operator="between">
      <formula>1</formula>
      <formula>11</formula>
    </cfRule>
  </conditionalFormatting>
  <conditionalFormatting sqref="AF24:AG24">
    <cfRule type="cellIs" dxfId="64" priority="121" operator="between">
      <formula>1</formula>
      <formula>10</formula>
    </cfRule>
  </conditionalFormatting>
  <conditionalFormatting sqref="AF26:AG26 AF28:AG28">
    <cfRule type="cellIs" dxfId="63" priority="122" operator="between">
      <formula>1</formula>
      <formula>9</formula>
    </cfRule>
  </conditionalFormatting>
  <dataValidations count="4">
    <dataValidation type="list" allowBlank="1" showInputMessage="1" showErrorMessage="1" sqref="B91 Q91:R91 AC91:AD91" xr:uid="{FBE0B4B4-68D6-4F19-9CAE-CC93F10E2062}">
      <formula1>"Yes,No"</formula1>
    </dataValidation>
    <dataValidation type="list" allowBlank="1" showInputMessage="1" showErrorMessage="1" sqref="AO46 AO44" xr:uid="{255175D3-E9D5-476B-8DBB-80094B78F890}">
      <formula1>"X"</formula1>
    </dataValidation>
    <dataValidation type="whole" allowBlank="1" showInputMessage="1" showErrorMessage="1" sqref="AI44:AK44 AI46:AK46" xr:uid="{20652946-D10A-492C-9F21-42842739A0E8}">
      <formula1>20000</formula1>
      <formula2>300000</formula2>
    </dataValidation>
    <dataValidation type="whole" allowBlank="1" showInputMessage="1" showErrorMessage="1" sqref="AH42:AJ42" xr:uid="{4A94F179-2573-4C95-947B-016CB91C5C23}">
      <formula1>1000</formula1>
      <formula2>20000</formula2>
    </dataValidation>
  </dataValidations>
  <hyperlinks>
    <hyperlink ref="AE4:AO4" r:id="rId1" display="ResidentialEEApplications@ameren.com" xr:uid="{8C6E4A5E-0EA2-4A01-B89C-90C32F2F6E7E}"/>
  </hyperlinks>
  <pageMargins left="0.7" right="0.7" top="0.75" bottom="0.75" header="0.3" footer="0.3"/>
  <pageSetup scale="84" fitToHeight="0" orientation="portrait" horizontalDpi="1200" verticalDpi="1200" r:id="rId2"/>
  <rowBreaks count="2" manualBreakCount="2">
    <brk id="80" max="16383" man="1"/>
    <brk id="104" min="1" max="40"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79" id="{CFCEFAC5-0ED8-4379-BC71-28C7F2E540B5}">
            <xm:f>'Project Information'!$R$9=Lists!$G$4</xm:f>
            <x14:dxf>
              <font>
                <color theme="0" tint="-0.14996795556505021"/>
              </font>
              <fill>
                <patternFill>
                  <bgColor theme="0"/>
                </patternFill>
              </fill>
            </x14:dxf>
          </x14:cfRule>
          <xm:sqref>B25:AO28</xm:sqref>
        </x14:conditionalFormatting>
        <x14:conditionalFormatting xmlns:xm="http://schemas.microsoft.com/office/excel/2006/main">
          <x14:cfRule type="expression" priority="45" stopIfTrue="1" id="{2B4E77E1-BF02-40B2-BDEA-03FE6C6D3A28}">
            <xm:f>TRIM('Project Information'!$J$9)=""</xm:f>
            <x14:dxf>
              <font>
                <color theme="0" tint="-0.14996795556505021"/>
              </font>
              <fill>
                <patternFill>
                  <bgColor theme="0"/>
                </patternFill>
              </fill>
            </x14:dxf>
          </x14:cfRule>
          <xm:sqref>B35:AO36 B41:AO42 B47:AO48 B49:D49 B50:AO51 J49:N49 B52:D52 J52:N52</xm:sqref>
        </x14:conditionalFormatting>
        <x14:conditionalFormatting xmlns:xm="http://schemas.microsoft.com/office/excel/2006/main">
          <x14:cfRule type="expression" priority="20" id="{4A4C35EB-7C16-4436-ACEF-17489E08D5A0}">
            <xm:f>OR('Project Information'!$F$9="",'Project Information'!$T$15="")</xm:f>
            <x14:dxf>
              <font>
                <color theme="0" tint="-4.9989318521683403E-2"/>
              </font>
              <fill>
                <patternFill>
                  <bgColor theme="0"/>
                </patternFill>
              </fill>
            </x14:dxf>
          </x14:cfRule>
          <xm:sqref>B43:AO43 B44:AK44 B45:AO45 B46:AK46</xm:sqref>
        </x14:conditionalFormatting>
        <x14:conditionalFormatting xmlns:xm="http://schemas.microsoft.com/office/excel/2006/main">
          <x14:cfRule type="expression" priority="22" stopIfTrue="1" id="{893AC6EF-1230-4728-8E38-33EFD1282E89}">
            <xm:f>'Project Information'!$F$15=Measures!$D$1</xm:f>
            <x14:dxf>
              <fill>
                <patternFill>
                  <bgColor theme="0" tint="-0.24994659260841701"/>
                </patternFill>
              </fill>
            </x14:dxf>
          </x14:cfRule>
          <xm:sqref>B50:AO51 B39:AO48 B49:D49 J49:N49 B52:D52 J52:N52 B70:AO78</xm:sqref>
        </x14:conditionalFormatting>
        <x14:conditionalFormatting xmlns:xm="http://schemas.microsoft.com/office/excel/2006/main">
          <x14:cfRule type="expression" priority="52" stopIfTrue="1" id="{DFE0B0C9-6A97-43D9-B788-F6628606DF9C}">
            <xm:f>'Project Information'!$F$15=Measures!$D$1</xm:f>
            <x14:dxf>
              <fill>
                <patternFill>
                  <bgColor theme="0" tint="-0.24994659260841701"/>
                </patternFill>
              </fill>
            </x14:dxf>
          </x14:cfRule>
          <xm:sqref>B57:AO65</xm:sqref>
        </x14:conditionalFormatting>
        <x14:conditionalFormatting xmlns:xm="http://schemas.microsoft.com/office/excel/2006/main">
          <x14:cfRule type="expression" priority="8" stopIfTrue="1" id="{8E711467-220D-495B-AB92-EC9A32E02D4B}">
            <xm:f>TRIM('Project Information'!$J$9)=""</xm:f>
            <x14:dxf>
              <font>
                <color theme="0" tint="-0.14996795556505021"/>
              </font>
              <fill>
                <patternFill>
                  <bgColor theme="0"/>
                </patternFill>
              </fill>
            </x14:dxf>
          </x14:cfRule>
          <x14:cfRule type="expression" priority="7" stopIfTrue="1" id="{5032A163-4F4C-419B-A8E7-73365F5C38B1}">
            <xm:f>'Project Information'!$F$15=Measures!$D$1</xm:f>
            <x14:dxf>
              <fill>
                <patternFill>
                  <bgColor theme="0" tint="-0.24994659260841701"/>
                </patternFill>
              </fill>
            </x14:dxf>
          </x14:cfRule>
          <xm:sqref>V49:Z49</xm:sqref>
        </x14:conditionalFormatting>
        <x14:conditionalFormatting xmlns:xm="http://schemas.microsoft.com/office/excel/2006/main">
          <x14:cfRule type="expression" priority="3" stopIfTrue="1" id="{F606CE70-E972-4411-831F-75A1303BBDBD}">
            <xm:f>'Project Information'!$F$15=Measures!$D$1</xm:f>
            <x14:dxf>
              <fill>
                <patternFill>
                  <bgColor theme="0" tint="-0.24994659260841701"/>
                </patternFill>
              </fill>
            </x14:dxf>
          </x14:cfRule>
          <x14:cfRule type="expression" priority="4" stopIfTrue="1" id="{C56AD977-B5EE-42C3-8B0C-A3F254A51A82}">
            <xm:f>TRIM('Project Information'!$J$9)=""</xm:f>
            <x14:dxf>
              <font>
                <color theme="0" tint="-0.14996795556505021"/>
              </font>
              <fill>
                <patternFill>
                  <bgColor theme="0"/>
                </patternFill>
              </fill>
            </x14:dxf>
          </x14:cfRule>
          <xm:sqref>V52:Z52</xm:sqref>
        </x14:conditionalFormatting>
        <x14:conditionalFormatting xmlns:xm="http://schemas.microsoft.com/office/excel/2006/main">
          <x14:cfRule type="expression" priority="46" id="{A0072D60-268A-446F-B010-1566B5282F64}">
            <xm:f>'Project Information'!$F$15=Measures!$D$1</xm:f>
            <x14:dxf>
              <fill>
                <patternFill>
                  <bgColor theme="0" tint="-0.24994659260841701"/>
                </patternFill>
              </fill>
            </x14:dxf>
          </x14:cfRule>
          <xm:sqref>AB82:AE83</xm:sqref>
        </x14:conditionalFormatting>
        <x14:conditionalFormatting xmlns:xm="http://schemas.microsoft.com/office/excel/2006/main">
          <x14:cfRule type="expression" priority="90" id="{00000000-000E-0000-0200-00000B000000}">
            <xm:f>AND($AD$48&lt;15.2,$D$47=Measures!$N$21)</xm:f>
            <x14:dxf>
              <fill>
                <patternFill>
                  <bgColor rgb="FFFF5050"/>
                </patternFill>
              </fill>
            </x14:dxf>
          </x14:cfRule>
          <xm:sqref>AD48</xm:sqref>
        </x14:conditionalFormatting>
        <x14:conditionalFormatting xmlns:xm="http://schemas.microsoft.com/office/excel/2006/main">
          <x14:cfRule type="expression" priority="107" id="{00000000-000E-0000-0200-00000D000000}">
            <xm:f>AND($AD$44&lt;90,$D$43=Measures!$I$4)</xm:f>
            <x14:dxf>
              <fill>
                <patternFill>
                  <bgColor rgb="FFFF5050"/>
                </patternFill>
              </fill>
            </x14:dxf>
          </x14:cfRule>
          <xm:sqref>AD44:AE44</xm:sqref>
        </x14:conditionalFormatting>
        <x14:conditionalFormatting xmlns:xm="http://schemas.microsoft.com/office/excel/2006/main">
          <x14:cfRule type="expression" priority="99" id="{9B3345EA-D64B-4756-96DE-AB67BF171C49}">
            <xm:f>AND($AD$46&lt;90,$D$45=Measures!$I$4)</xm:f>
            <x14:dxf>
              <fill>
                <patternFill>
                  <bgColor rgb="FFFF5050"/>
                </patternFill>
              </fill>
            </x14:dxf>
          </x14:cfRule>
          <xm:sqref>AD46:AE46</xm:sqref>
        </x14:conditionalFormatting>
        <x14:conditionalFormatting xmlns:xm="http://schemas.microsoft.com/office/excel/2006/main">
          <x14:cfRule type="expression" priority="5" stopIfTrue="1" id="{E970D95F-70F8-4F2C-8BEC-566B60DD3D26}">
            <xm:f>'Project Information'!$F$15=Measures!$D$1</xm:f>
            <x14:dxf>
              <fill>
                <patternFill>
                  <bgColor theme="0" tint="-0.24994659260841701"/>
                </patternFill>
              </fill>
            </x14:dxf>
          </x14:cfRule>
          <x14:cfRule type="expression" priority="6" stopIfTrue="1" id="{7BA82C44-B7D5-4FCB-8654-29AC9CE86DB6}">
            <xm:f>TRIM('Project Information'!$J$9)=""</xm:f>
            <x14:dxf>
              <font>
                <color theme="0" tint="-0.14996795556505021"/>
              </font>
              <fill>
                <patternFill>
                  <bgColor theme="0"/>
                </patternFill>
              </fill>
            </x14:dxf>
          </x14:cfRule>
          <xm:sqref>AD49:AE49</xm:sqref>
        </x14:conditionalFormatting>
        <x14:conditionalFormatting xmlns:xm="http://schemas.microsoft.com/office/excel/2006/main">
          <x14:cfRule type="expression" priority="1" stopIfTrue="1" id="{BD6DA455-8AAA-4E9B-9B9D-DFAC1A29371B}">
            <xm:f>'Project Information'!$F$15=Measures!$D$1</xm:f>
            <x14:dxf>
              <fill>
                <patternFill>
                  <bgColor theme="0" tint="-0.24994659260841701"/>
                </patternFill>
              </fill>
            </x14:dxf>
          </x14:cfRule>
          <x14:cfRule type="expression" priority="2" stopIfTrue="1" id="{EECD9640-4C19-44DE-808D-27FE6097D2A2}">
            <xm:f>TRIM('Project Information'!$J$9)=""</xm:f>
            <x14:dxf>
              <font>
                <color theme="0" tint="-0.14996795556505021"/>
              </font>
              <fill>
                <patternFill>
                  <bgColor theme="0"/>
                </patternFill>
              </fill>
            </x14:dxf>
          </x14:cfRule>
          <xm:sqref>AD52:AE52</xm:sqref>
        </x14:conditionalFormatting>
        <x14:conditionalFormatting xmlns:xm="http://schemas.microsoft.com/office/excel/2006/main">
          <x14:cfRule type="expression" priority="105" id="{E5855699-F9EF-4FC9-8482-A56900C9706F}">
            <xm:f>AND($AD$48&lt;15.2,$D$47=Measures!$N$22)</xm:f>
            <x14:dxf>
              <fill>
                <patternFill>
                  <bgColor rgb="FFFF5050"/>
                </patternFill>
              </fill>
            </x14:dxf>
          </x14:cfRule>
          <xm:sqref>AD48:AF48</xm:sqref>
        </x14:conditionalFormatting>
        <x14:conditionalFormatting xmlns:xm="http://schemas.microsoft.com/office/excel/2006/main">
          <x14:cfRule type="expression" priority="88" id="{B2E414E8-00A6-42B6-B349-CDB187F37960}">
            <xm:f>AND($AD$51&lt;15.2,$D$50=Measures!$N$25)</xm:f>
            <x14:dxf>
              <fill>
                <patternFill>
                  <bgColor rgb="FFFF5050"/>
                </patternFill>
              </fill>
            </x14:dxf>
          </x14:cfRule>
          <x14:cfRule type="expression" priority="89" id="{79345A9C-F0C3-4736-8947-8D762BC175A9}">
            <xm:f>AND($AD$51&lt;15.2,$D$50=Measures!$N$26)</xm:f>
            <x14:dxf>
              <fill>
                <patternFill>
                  <bgColor rgb="FFFF5050"/>
                </patternFill>
              </fill>
            </x14:dxf>
          </x14:cfRule>
          <xm:sqref>AD51:AF51</xm:sqref>
        </x14:conditionalFormatting>
        <x14:conditionalFormatting xmlns:xm="http://schemas.microsoft.com/office/excel/2006/main">
          <x14:cfRule type="expression" priority="103" id="{CD9CF841-8C00-4379-97A5-42C8A76FBDE1}">
            <xm:f>AND($AI$48&lt;11.88,$D$47=Measures!$I$18)</xm:f>
            <x14:dxf>
              <fill>
                <patternFill>
                  <bgColor rgb="FFFF5050"/>
                </patternFill>
              </fill>
            </x14:dxf>
          </x14:cfRule>
          <xm:sqref>AI48:AK48</xm:sqref>
        </x14:conditionalFormatting>
        <x14:conditionalFormatting xmlns:xm="http://schemas.microsoft.com/office/excel/2006/main">
          <x14:cfRule type="expression" priority="92" id="{39277E98-4720-490D-A66C-0799642B649C}">
            <xm:f>AND($AI$51&lt;11.88,$D$50=Measures!$I$18)</xm:f>
            <x14:dxf>
              <fill>
                <patternFill>
                  <bgColor rgb="FFFF5050"/>
                </patternFill>
              </fill>
            </x14:dxf>
          </x14:cfRule>
          <xm:sqref>AI51:AK51</xm:sqref>
        </x14:conditionalFormatting>
        <x14:conditionalFormatting xmlns:xm="http://schemas.microsoft.com/office/excel/2006/main">
          <x14:cfRule type="expression" priority="16" stopIfTrue="1" id="{157BE08A-7AFD-4776-92B2-8F0C3B733556}">
            <xm:f>TRIM('Project Information'!$J$9)=""</xm:f>
            <x14:dxf>
              <font>
                <color theme="0" tint="-0.14996795556505021"/>
              </font>
              <fill>
                <patternFill>
                  <bgColor theme="0"/>
                </patternFill>
              </fill>
            </x14:dxf>
          </x14:cfRule>
          <x14:cfRule type="expression" priority="15" stopIfTrue="1" id="{860A4744-4255-43FB-8F61-97EBDEB74929}">
            <xm:f>'Project Information'!$F$15=Measures!$D$1</xm:f>
            <x14:dxf>
              <fill>
                <patternFill>
                  <bgColor theme="0" tint="-0.24994659260841701"/>
                </patternFill>
              </fill>
            </x14:dxf>
          </x14:cfRule>
          <xm:sqref>AK49:AN49</xm:sqref>
        </x14:conditionalFormatting>
        <x14:conditionalFormatting xmlns:xm="http://schemas.microsoft.com/office/excel/2006/main">
          <x14:cfRule type="expression" priority="10" stopIfTrue="1" id="{561343E1-0DCD-45CB-9985-C140F3708F71}">
            <xm:f>TRIM('Project Information'!$J$9)=""</xm:f>
            <x14:dxf>
              <font>
                <color theme="0" tint="-0.14996795556505021"/>
              </font>
              <fill>
                <patternFill>
                  <bgColor theme="0"/>
                </patternFill>
              </fill>
            </x14:dxf>
          </x14:cfRule>
          <x14:cfRule type="expression" priority="9" stopIfTrue="1" id="{0524FF01-49DE-40AE-9A85-5EC10A653AB9}">
            <xm:f>'Project Information'!$F$15=Measures!$D$1</xm:f>
            <x14:dxf>
              <fill>
                <patternFill>
                  <bgColor theme="0" tint="-0.24994659260841701"/>
                </patternFill>
              </fill>
            </x14:dxf>
          </x14:cfRule>
          <xm:sqref>AK52:AN52</xm:sqref>
        </x14:conditionalFormatting>
        <x14:conditionalFormatting xmlns:xm="http://schemas.microsoft.com/office/excel/2006/main">
          <x14:cfRule type="expression" priority="19" id="{5F6D4AD9-8560-45D8-A473-538136F907F4}">
            <xm:f>OR('Project Information'!$F$9="",'Project Information'!$J$9="",'Project Information'!$T$15="")</xm:f>
            <x14:dxf>
              <font>
                <color theme="0" tint="-4.9989318521683403E-2"/>
              </font>
              <fill>
                <patternFill>
                  <bgColor theme="0"/>
                </patternFill>
              </fill>
            </x14:dxf>
          </x14:cfRule>
          <xm:sqref>AL44:AO44 AL46:AO46</xm:sqref>
        </x14:conditionalFormatting>
        <x14:conditionalFormatting xmlns:xm="http://schemas.microsoft.com/office/excel/2006/main">
          <x14:cfRule type="expression" priority="71" id="{8A3D8A01-674D-41BE-AFA3-B30F92F7FF10}">
            <xm:f>AND($AN$48&lt;8.1,$D$47=Measures!$N$21)</xm:f>
            <x14:dxf>
              <fill>
                <patternFill>
                  <bgColor rgb="FFFF5050"/>
                </patternFill>
              </fill>
            </x14:dxf>
          </x14:cfRule>
          <x14:cfRule type="expression" priority="91" id="{52067929-6837-4AD5-A2B5-626FA782359C}">
            <xm:f>AND($AN$48&lt;8.55,$D$47=Measures!$N$22)</xm:f>
            <x14:dxf>
              <fill>
                <patternFill>
                  <bgColor rgb="FFFF5050"/>
                </patternFill>
              </fill>
            </x14:dxf>
          </x14:cfRule>
          <xm:sqref>AN48:AO48</xm:sqref>
        </x14:conditionalFormatting>
        <x14:conditionalFormatting xmlns:xm="http://schemas.microsoft.com/office/excel/2006/main">
          <x14:cfRule type="expression" priority="21" id="{32FB9986-5D47-4B00-8E30-8B4D36AED5AC}">
            <xm:f>AND($AN$51&lt;8.55,$D$50=Measures!$N$26)</xm:f>
            <x14:dxf>
              <fill>
                <patternFill>
                  <bgColor rgb="FFFF5050"/>
                </patternFill>
              </fill>
            </x14:dxf>
          </x14:cfRule>
          <x14:cfRule type="expression" priority="100" id="{00000000-000E-0000-0200-000005000000}">
            <xm:f>AND($AN$51&lt;8.1,$D$50=Measures!$N$25)</xm:f>
            <x14:dxf>
              <fill>
                <patternFill>
                  <bgColor rgb="FFFF5050"/>
                </patternFill>
              </fill>
            </x14:dxf>
          </x14:cfRule>
          <xm:sqref>AN51:AO51</xm:sqref>
        </x14:conditionalFormatting>
        <x14:conditionalFormatting xmlns:xm="http://schemas.microsoft.com/office/excel/2006/main">
          <x14:cfRule type="expression" priority="70" id="{D81EEC56-4BAF-49E0-8650-F85C45E5751B}">
            <xm:f>'Project Information'!$J$9="X"</xm:f>
            <x14:dxf>
              <fill>
                <patternFill>
                  <bgColor theme="0" tint="-4.9989318521683403E-2"/>
                </patternFill>
              </fill>
            </x14:dxf>
          </x14:cfRule>
          <xm:sqref>AO44 AO46</xm:sqref>
        </x14:conditionalFormatting>
        <x14:conditionalFormatting xmlns:xm="http://schemas.microsoft.com/office/excel/2006/main">
          <x14:cfRule type="expression" priority="95" id="{BA6FD378-D817-489A-A25A-2647A9C4D24B}">
            <xm:f>AND('Project Score'!$C$35&gt;0,'Project Score'!$C$35&lt;=1)</xm:f>
            <x14:dxf>
              <fill>
                <patternFill>
                  <bgColor rgb="FF92D050"/>
                </patternFill>
              </fill>
            </x14:dxf>
          </x14:cfRule>
          <x14:cfRule type="expression" priority="96" id="{7179220B-7957-45CF-AA66-AD619E265DEB}">
            <xm:f>AND('Project Score'!$C$35&gt;1,'Project Score'!$C$35&lt;=2)</xm:f>
            <x14:dxf>
              <fill>
                <patternFill>
                  <bgColor rgb="FFFFFF00"/>
                </patternFill>
              </fill>
            </x14:dxf>
          </x14:cfRule>
          <x14:cfRule type="expression" priority="97" id="{F11BBC23-858E-4E55-89C1-071D13FD951E}">
            <xm:f>'Project Score'!C$35&gt;2</xm:f>
            <x14:dxf>
              <fill>
                <patternFill>
                  <bgColor rgb="FFFF0000"/>
                </patternFill>
              </fill>
            </x14:dxf>
          </x14:cfRule>
          <xm:sqref>AT89</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48C1DF05-9603-4C30-8B59-EB01B01B086C}">
          <x14:formula1>
            <xm:f>Lists!$J$11:$J$15</xm:f>
          </x14:formula1>
          <xm:sqref>T41:W41</xm:sqref>
        </x14:dataValidation>
        <x14:dataValidation type="list" allowBlank="1" showInputMessage="1" showErrorMessage="1" xr:uid="{FFD22F3A-BB91-4FC1-B65D-4C4D7A0C5EDD}">
          <x14:formula1>
            <xm:f>Lists!$D$17:$D$21</xm:f>
          </x14:formula1>
          <xm:sqref>AK30:AO30</xm:sqref>
        </x14:dataValidation>
        <x14:dataValidation type="list" allowBlank="1" showInputMessage="1" showErrorMessage="1" xr:uid="{A346B237-98B5-4C84-B4D9-7EE37862AA8E}">
          <x14:formula1>
            <xm:f>Lists!$J$11:$J$12</xm:f>
          </x14:formula1>
          <xm:sqref>T29:W29 T35:W35 T37:W37 T39:W39 T50:W50 T43:W43 T45:W45 T47:W47</xm:sqref>
        </x14:dataValidation>
        <x14:dataValidation type="list" allowBlank="1" showInputMessage="1" showErrorMessage="1" xr:uid="{92DEC7EC-D8C9-4314-9EC7-5BAE38BB24E4}">
          <x14:formula1>
            <xm:f>Lists!$A$35:$A$40</xm:f>
          </x14:formula1>
          <xm:sqref>N30:O30</xm:sqref>
        </x14:dataValidation>
        <x14:dataValidation type="list" allowBlank="1" showInputMessage="1" showErrorMessage="1" xr:uid="{C95296B7-EE8E-41C1-B05C-4B8DB441F11D}">
          <x14:formula1>
            <xm:f>Lists!$A$29:$A$32</xm:f>
          </x14:formula1>
          <xm:sqref>U19:W20 U13:W14 U16:W17</xm:sqref>
        </x14:dataValidation>
        <x14:dataValidation type="list" allowBlank="1" showInputMessage="1" showErrorMessage="1" xr:uid="{D0D4D93F-7DD5-45CB-9456-1E1D3F1235E4}">
          <x14:formula1>
            <xm:f>Measures!$I$25:$I$27</xm:f>
          </x14:formula1>
          <xm:sqref>D27:M27</xm:sqref>
        </x14:dataValidation>
        <x14:dataValidation type="list" allowBlank="1" showInputMessage="1" showErrorMessage="1" xr:uid="{111AE7E9-963C-493D-AD38-F522FE0B1A59}">
          <x14:formula1>
            <xm:f>Measures!$I$29:$I$31</xm:f>
          </x14:formula1>
          <xm:sqref>D35:M35</xm:sqref>
        </x14:dataValidation>
        <x14:dataValidation type="list" allowBlank="1" showInputMessage="1" showErrorMessage="1" xr:uid="{9166843B-034E-4D6E-A393-39497924DF72}">
          <x14:formula1>
            <xm:f>Lists!$L$1:$L$2</xm:f>
          </x14:formula1>
          <xm:sqref>T11 W11 AB11 AG11 AM11 AD49 AD52</xm:sqref>
        </x14:dataValidation>
        <x14:dataValidation type="list" allowBlank="1" showInputMessage="1" showErrorMessage="1" xr:uid="{158DBC62-6FAB-4FA1-9DDD-408E5B4B7B97}">
          <x14:formula1>
            <xm:f>Lists!$J$6:$J$8</xm:f>
          </x14:formula1>
          <xm:sqref>B35:C52 B57:C65 B70:C78 B10:C30</xm:sqref>
        </x14:dataValidation>
        <x14:dataValidation type="list" allowBlank="1" showInputMessage="1" showErrorMessage="1" xr:uid="{9582D867-4467-48B3-87DA-B4BA8E11F96D}">
          <x14:formula1>
            <xm:f>Lists!$A$34:$A$40</xm:f>
          </x14:formula1>
          <xm:sqref>N24:S24</xm:sqref>
        </x14:dataValidation>
        <x14:dataValidation type="list" allowBlank="1" showInputMessage="1" showErrorMessage="1" xr:uid="{13CC2702-962B-417C-B8E4-2FCA06A5317E}">
          <x14:formula1>
            <xm:f>Measures!$N$20:$N$22</xm:f>
          </x14:formula1>
          <xm:sqref>D47:M47</xm:sqref>
        </x14:dataValidation>
        <x14:dataValidation type="list" allowBlank="1" showInputMessage="1" showErrorMessage="1" xr:uid="{77E9FA20-81BF-4BD2-AC07-DFAD0CBFEB00}">
          <x14:formula1>
            <xm:f>Measures!$N$24:$N$26</xm:f>
          </x14:formula1>
          <xm:sqref>D50:M50</xm:sqref>
        </x14:dataValidation>
        <x14:dataValidation type="list" errorStyle="warning" allowBlank="1" showInputMessage="1" showErrorMessage="1" error="Any entry that is not on the list MUST HAVE supporting photographs, notes, and detailed quote to support eligibility" xr:uid="{575D0829-13CB-481D-B3D5-965BDDC4A096}">
          <x14:formula1>
            <xm:f>Lists!$M$24:$M$68</xm:f>
          </x14:formula1>
          <xm:sqref>D70:AA78</xm:sqref>
        </x14:dataValidation>
        <x14:dataValidation type="list" allowBlank="1" showInputMessage="1" showErrorMessage="1" xr:uid="{E95B821A-D89E-46EB-91A8-F00DEC2FEDC0}">
          <x14:formula1>
            <xm:f>Measures!$I$41:$I$44</xm:f>
          </x14:formula1>
          <xm:sqref>D39:M39</xm:sqref>
        </x14:dataValidation>
        <x14:dataValidation type="list" errorStyle="warning" allowBlank="1" showInputMessage="1" showErrorMessage="1" error="Any entry that is not on the list MUST HAVE supporting photographs, notes, and detailed quote to support eligibility" xr:uid="{5BA4E358-F1F9-44F2-99C5-40963835541E}">
          <x14:formula1>
            <xm:f>Lists!$A$50:$A$78</xm:f>
          </x14:formula1>
          <xm:sqref>D57:AA65</xm:sqref>
        </x14:dataValidation>
        <x14:dataValidation type="list" allowBlank="1" showInputMessage="1" showErrorMessage="1" xr:uid="{272BB5A7-375D-4CE3-942D-E72C26BC0C7C}">
          <x14:formula1>
            <xm:f>Lists!$A$19:$A$23</xm:f>
          </x14:formula1>
          <xm:sqref>AK24:AO24 AK22:AO22 AK28:AO28 AK26:AO26</xm:sqref>
        </x14:dataValidation>
        <x14:dataValidation type="list" allowBlank="1" showInputMessage="1" showErrorMessage="1" xr:uid="{99E437E1-AC66-432B-BBD3-C0E4917659F1}">
          <x14:formula1>
            <xm:f>Lists!$A$19:$A$26</xm:f>
          </x14:formula1>
          <xm:sqref>J19:M20 J16:M17 J13:M14</xm:sqref>
        </x14:dataValidation>
        <x14:dataValidation type="list" allowBlank="1" showInputMessage="1" showErrorMessage="1" xr:uid="{B70D5F5D-976F-41C0-870C-6884376533C7}">
          <x14:formula1>
            <xm:f>Lists!$A$19:$A$20</xm:f>
          </x14:formula1>
          <xm:sqref>AK19:AO20 AK16:AO17 AK13:AO14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6679-36CC-46BC-A8D6-21363A591C9F}">
  <dimension ref="A1:EF84"/>
  <sheetViews>
    <sheetView zoomScale="85" zoomScaleNormal="85" workbookViewId="0">
      <selection activeCell="D2" sqref="D2:L2"/>
    </sheetView>
  </sheetViews>
  <sheetFormatPr defaultRowHeight="15" x14ac:dyDescent="0.25"/>
  <cols>
    <col min="1" max="32" width="2.7109375" customWidth="1"/>
    <col min="33" max="33" width="2.7109375" style="4" customWidth="1"/>
    <col min="34" max="116" width="2.7109375" customWidth="1"/>
    <col min="117" max="117" width="3.140625" customWidth="1"/>
    <col min="118" max="120" width="2.7109375" customWidth="1"/>
    <col min="121" max="121" width="3.140625" customWidth="1"/>
    <col min="122" max="148" width="2.7109375" customWidth="1"/>
  </cols>
  <sheetData>
    <row r="1" spans="1:116" ht="18" customHeight="1" x14ac:dyDescent="0.25">
      <c r="A1" s="194" t="s">
        <v>1789</v>
      </c>
      <c r="B1" s="194"/>
      <c r="C1" s="194"/>
      <c r="D1" s="194"/>
      <c r="E1" s="194"/>
      <c r="F1" s="194"/>
      <c r="G1" s="194"/>
      <c r="H1" s="194"/>
      <c r="I1" s="194"/>
      <c r="J1" s="194"/>
      <c r="K1" s="194"/>
      <c r="L1" s="194"/>
      <c r="M1" s="194"/>
      <c r="N1" s="947"/>
      <c r="O1" s="947"/>
      <c r="P1" s="947"/>
      <c r="Q1" s="4" t="s">
        <v>596</v>
      </c>
      <c r="R1" s="4"/>
      <c r="S1" s="4"/>
      <c r="T1" s="4"/>
      <c r="U1" s="4"/>
      <c r="V1" s="4"/>
      <c r="W1" s="4"/>
      <c r="X1" s="4"/>
      <c r="Y1" s="4"/>
      <c r="Z1" s="4"/>
      <c r="AA1" s="4"/>
      <c r="AB1" s="4"/>
      <c r="AC1" s="4"/>
      <c r="AD1" s="4"/>
      <c r="AE1" s="4"/>
      <c r="AF1" s="4"/>
      <c r="AH1" s="194" t="s">
        <v>1790</v>
      </c>
      <c r="AI1" s="4"/>
      <c r="AJ1" s="4"/>
      <c r="AK1" s="4"/>
      <c r="AL1" s="4"/>
      <c r="AM1" s="4"/>
      <c r="AN1" s="4"/>
      <c r="AO1" s="4"/>
      <c r="AP1" s="4"/>
      <c r="AQ1" s="4"/>
      <c r="AR1" s="4"/>
      <c r="AS1" s="4"/>
      <c r="AT1" s="1012">
        <f>IF(OR('Project Information'!D30=Lists!A8,'Project Information'!D30=Lists!A9,'Project Information'!D30=Lists!A13,'Project Information'!D30=Lists!A14),"GAS",IF(OR('Project Information'!D30=Lists!A10,'Project Information'!D30=Lists!A12),"ELECTRIC",0))</f>
        <v>0</v>
      </c>
      <c r="AU1" s="1012"/>
      <c r="AV1" s="1012"/>
      <c r="AW1" s="4"/>
      <c r="AX1" s="4"/>
      <c r="AY1" s="4"/>
      <c r="AZ1" s="4"/>
      <c r="BA1" s="4"/>
      <c r="BB1" s="4"/>
      <c r="BC1" s="4"/>
      <c r="BD1" s="4"/>
      <c r="BE1" s="4"/>
      <c r="BF1" s="904"/>
      <c r="BG1" s="904"/>
      <c r="BH1" s="904"/>
      <c r="BI1" s="904"/>
      <c r="BJ1" s="1011" t="s">
        <v>477</v>
      </c>
      <c r="BK1" s="1011"/>
      <c r="BL1" s="1011"/>
      <c r="BM1" s="1011"/>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row>
    <row r="2" spans="1:116" s="2" customFormat="1" ht="18" customHeight="1" x14ac:dyDescent="0.25">
      <c r="A2" s="197" t="s">
        <v>355</v>
      </c>
      <c r="B2" s="197"/>
      <c r="C2" s="197"/>
      <c r="D2" s="1009">
        <f>'Project Information'!M15</f>
        <v>0</v>
      </c>
      <c r="E2" s="1009"/>
      <c r="F2" s="1009"/>
      <c r="G2" s="1009"/>
      <c r="H2" s="1009"/>
      <c r="I2" s="1009"/>
      <c r="J2" s="1009"/>
      <c r="K2" s="1009"/>
      <c r="L2" s="1009"/>
      <c r="M2" s="197"/>
      <c r="N2" s="197"/>
      <c r="O2" s="197"/>
      <c r="P2" s="197"/>
      <c r="Q2" s="197"/>
      <c r="R2" s="197"/>
      <c r="S2" s="197"/>
      <c r="T2" s="197"/>
      <c r="U2" s="197"/>
      <c r="V2" s="197"/>
      <c r="W2" s="197"/>
      <c r="X2" s="197"/>
      <c r="Y2" s="170"/>
      <c r="Z2" s="170"/>
      <c r="AA2" s="170"/>
      <c r="AB2" s="170"/>
      <c r="AC2" s="170"/>
      <c r="AD2" s="170"/>
      <c r="AE2" s="170"/>
      <c r="AF2" s="170"/>
      <c r="AG2" s="170"/>
      <c r="AH2" s="946" t="s">
        <v>201</v>
      </c>
      <c r="AI2" s="946"/>
      <c r="AJ2" s="946"/>
      <c r="AK2" s="946"/>
      <c r="AL2" s="946"/>
      <c r="AM2" s="946"/>
      <c r="AN2" s="946"/>
      <c r="AO2" s="946"/>
      <c r="AP2" s="946"/>
      <c r="AQ2" s="946"/>
      <c r="AR2" s="990" t="s">
        <v>205</v>
      </c>
      <c r="AS2" s="990"/>
      <c r="AT2" s="990"/>
      <c r="AU2" s="990"/>
      <c r="AV2" s="990"/>
      <c r="AW2" s="990" t="s">
        <v>400</v>
      </c>
      <c r="AX2" s="990"/>
      <c r="AY2" s="990"/>
      <c r="AZ2" s="990" t="s">
        <v>203</v>
      </c>
      <c r="BA2" s="990"/>
      <c r="BB2" s="990" t="s">
        <v>204</v>
      </c>
      <c r="BC2" s="990"/>
      <c r="BD2" s="990"/>
      <c r="BE2" s="990"/>
      <c r="BF2" s="990" t="s">
        <v>50</v>
      </c>
      <c r="BG2" s="990"/>
      <c r="BH2" s="990"/>
      <c r="BI2" s="990"/>
      <c r="BJ2" s="1011"/>
      <c r="BK2" s="1011"/>
      <c r="BL2" s="1011"/>
      <c r="BM2" s="1011"/>
      <c r="BN2" s="1010" t="s">
        <v>217</v>
      </c>
      <c r="BO2" s="1010"/>
      <c r="BP2" s="1010"/>
      <c r="BQ2" s="1010"/>
      <c r="BR2" s="192" t="s">
        <v>478</v>
      </c>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row>
    <row r="3" spans="1:116" s="2" customFormat="1" ht="18" customHeight="1" x14ac:dyDescent="0.25">
      <c r="A3" s="191" t="s">
        <v>183</v>
      </c>
      <c r="B3" s="191"/>
      <c r="C3" s="191"/>
      <c r="D3" s="952">
        <f>'Project Information'!E6</f>
        <v>0</v>
      </c>
      <c r="E3" s="952"/>
      <c r="F3" s="952"/>
      <c r="G3" s="952"/>
      <c r="H3" s="952"/>
      <c r="I3" s="952"/>
      <c r="J3" s="952"/>
      <c r="K3" s="952"/>
      <c r="L3" s="952"/>
      <c r="M3" s="952">
        <f>'Project Information'!X6</f>
        <v>0</v>
      </c>
      <c r="N3" s="952"/>
      <c r="O3" s="952"/>
      <c r="P3" s="952"/>
      <c r="Q3" s="952"/>
      <c r="R3" s="952"/>
      <c r="S3" s="952"/>
      <c r="T3" s="952"/>
      <c r="U3" s="191"/>
      <c r="V3" s="952">
        <f>'Project Information'!AK6</f>
        <v>0</v>
      </c>
      <c r="W3" s="952"/>
      <c r="X3" s="952"/>
      <c r="Y3" s="170"/>
      <c r="Z3" s="170"/>
      <c r="AA3" s="170"/>
      <c r="AB3" s="170"/>
      <c r="AC3" s="170"/>
      <c r="AD3" s="170"/>
      <c r="AE3" s="170"/>
      <c r="AF3" s="170"/>
      <c r="AG3" s="170"/>
      <c r="AH3" s="965" t="s">
        <v>36</v>
      </c>
      <c r="AI3" s="965"/>
      <c r="AJ3" s="965"/>
      <c r="AK3" s="965"/>
      <c r="AL3" s="965"/>
      <c r="AM3" s="965"/>
      <c r="AN3" s="965"/>
      <c r="AO3" s="965"/>
      <c r="AP3" s="965"/>
      <c r="AQ3" s="965"/>
      <c r="AR3" s="965"/>
      <c r="AS3" s="965"/>
      <c r="AT3" s="965"/>
      <c r="AU3" s="965"/>
      <c r="AV3" s="965"/>
      <c r="AW3" s="985">
        <f>'Work Scope'!T10</f>
        <v>0</v>
      </c>
      <c r="AX3" s="986"/>
      <c r="AY3" s="986"/>
      <c r="AZ3" s="989">
        <f>'Work Scope'!B10</f>
        <v>0</v>
      </c>
      <c r="BA3" s="990"/>
      <c r="BB3" s="1004">
        <f>'Work Scope'!X10</f>
        <v>0</v>
      </c>
      <c r="BC3" s="1005"/>
      <c r="BD3" s="1005"/>
      <c r="BE3" s="1005"/>
      <c r="BF3" s="1004">
        <f>'Work Scope'!N10</f>
        <v>0</v>
      </c>
      <c r="BG3" s="1005"/>
      <c r="BH3" s="1005"/>
      <c r="BI3" s="1005"/>
      <c r="BJ3" s="1001" t="str">
        <f>IFERROR(BB3/AW3," ")</f>
        <v xml:space="preserve"> </v>
      </c>
      <c r="BK3" s="1002"/>
      <c r="BL3" s="1002"/>
      <c r="BM3" s="1003"/>
      <c r="BN3" s="1001" t="b">
        <f>IF(OR('Project Information'!F15=1,'Project Information'!F15=2),
IF(AW3&lt;500,'HE-PY26 Pricing'!C6,
IF(AW3&lt;1000,'HE-PY26 Pricing'!C7,
IF(AW3&gt;=1000,'HE-PY26 Pricing'!C8,""))))</f>
        <v>0</v>
      </c>
      <c r="BO3" s="1002"/>
      <c r="BP3" s="1002"/>
      <c r="BQ3" s="1003"/>
      <c r="BR3" s="939" t="s">
        <v>207</v>
      </c>
      <c r="BS3" s="939"/>
      <c r="BT3" s="939"/>
      <c r="BU3" s="939"/>
      <c r="BV3" s="985">
        <f>'Work Scope'!G11</f>
        <v>0</v>
      </c>
      <c r="BW3" s="982"/>
      <c r="BX3" s="1020"/>
      <c r="BY3" s="939" t="s">
        <v>208</v>
      </c>
      <c r="BZ3" s="939"/>
      <c r="CA3" s="939"/>
      <c r="CB3" s="939"/>
      <c r="CC3" s="986">
        <f>'Work Scope'!M11</f>
        <v>0</v>
      </c>
      <c r="CD3" s="982"/>
      <c r="CE3" s="982"/>
      <c r="CF3" s="938" t="s">
        <v>112</v>
      </c>
      <c r="CG3" s="939"/>
      <c r="CH3" s="939"/>
      <c r="CI3" s="939"/>
      <c r="CJ3" s="939"/>
      <c r="CK3" s="189" t="str">
        <f>IF('Work Scope'!T11="X","X"," ")</f>
        <v xml:space="preserve"> </v>
      </c>
      <c r="CL3" s="170" t="s">
        <v>113</v>
      </c>
      <c r="CM3" s="170"/>
      <c r="CN3" s="170"/>
      <c r="CO3" s="190" t="str">
        <f>IF('Work Scope'!W11="X","X"," ")</f>
        <v xml:space="preserve"> </v>
      </c>
      <c r="CP3" s="965" t="s">
        <v>114</v>
      </c>
      <c r="CQ3" s="965"/>
      <c r="CR3" s="965"/>
      <c r="CS3" s="965"/>
      <c r="CT3" s="965"/>
      <c r="CU3" s="965"/>
      <c r="CV3" s="190" t="str">
        <f>IF('Work Scope'!AB11="X","X"," ")</f>
        <v xml:space="preserve"> </v>
      </c>
      <c r="CW3" s="965" t="s">
        <v>115</v>
      </c>
      <c r="CX3" s="965"/>
      <c r="CY3" s="965"/>
      <c r="CZ3" s="965"/>
      <c r="DA3" s="965"/>
      <c r="DB3" s="190" t="str">
        <f>IF('Work Scope'!AG11="X","X"," ")</f>
        <v xml:space="preserve"> </v>
      </c>
      <c r="DC3" s="965" t="s">
        <v>116</v>
      </c>
      <c r="DD3" s="965"/>
      <c r="DE3" s="965"/>
      <c r="DF3" s="965"/>
      <c r="DG3" s="965"/>
      <c r="DH3" s="965"/>
      <c r="DI3" s="190" t="str">
        <f>IF('Work Scope'!AM11="X","X"," ")</f>
        <v xml:space="preserve"> </v>
      </c>
      <c r="DJ3" s="965" t="s">
        <v>18</v>
      </c>
      <c r="DK3" s="965"/>
      <c r="DL3" s="965"/>
    </row>
    <row r="4" spans="1:116" s="2" customFormat="1" ht="18" customHeight="1" x14ac:dyDescent="0.25">
      <c r="A4" s="1013" t="s">
        <v>215</v>
      </c>
      <c r="B4" s="1013"/>
      <c r="C4" s="1013"/>
      <c r="D4" s="1013"/>
      <c r="E4" s="1014">
        <f>'Project Information'!F15</f>
        <v>0</v>
      </c>
      <c r="F4" s="1014"/>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975" t="s">
        <v>59</v>
      </c>
      <c r="AI4" s="975"/>
      <c r="AJ4" s="975"/>
      <c r="AK4" s="975"/>
      <c r="AL4" s="975"/>
      <c r="AM4" s="975"/>
      <c r="AN4" s="975"/>
      <c r="AO4" s="975"/>
      <c r="AP4" s="975"/>
      <c r="AQ4" s="975"/>
      <c r="AR4" s="975"/>
      <c r="AS4" s="975"/>
      <c r="AT4" s="975"/>
      <c r="AU4" s="975"/>
      <c r="AV4" s="975"/>
      <c r="AW4" s="991">
        <f>'Work Scope'!E13</f>
        <v>0</v>
      </c>
      <c r="AX4" s="951"/>
      <c r="AY4" s="951"/>
      <c r="AZ4" s="987">
        <f>'Work Scope'!B12</f>
        <v>0</v>
      </c>
      <c r="BA4" s="988"/>
      <c r="BB4" s="1006">
        <f>IFERROR(('Work Scope'!X12/'Work Scope'!T12)*'Work Scope'!E13,0)</f>
        <v>0</v>
      </c>
      <c r="BC4" s="1007"/>
      <c r="BD4" s="1007"/>
      <c r="BE4" s="1007"/>
      <c r="BF4" s="1006">
        <f>'Work Scope'!N12</f>
        <v>0</v>
      </c>
      <c r="BG4" s="1007"/>
      <c r="BH4" s="1007"/>
      <c r="BI4" s="1007"/>
      <c r="BJ4" s="973" t="str">
        <f>IFERROR(BB4/AW4," ")</f>
        <v xml:space="preserve"> </v>
      </c>
      <c r="BK4" s="974"/>
      <c r="BL4" s="974"/>
      <c r="BM4" s="1008"/>
      <c r="BN4" s="973">
        <f>'HE-PY26 Pricing'!C9</f>
        <v>1.9</v>
      </c>
      <c r="BO4" s="974"/>
      <c r="BP4" s="974"/>
      <c r="BQ4" s="1008"/>
      <c r="BR4" s="934" t="s">
        <v>209</v>
      </c>
      <c r="BS4" s="934"/>
      <c r="BT4" s="934"/>
      <c r="BU4" s="934"/>
      <c r="BV4" s="983">
        <f>'Work Scope'!AA13</f>
        <v>0</v>
      </c>
      <c r="BW4" s="951"/>
      <c r="BX4" s="1021"/>
      <c r="BY4" s="934" t="s">
        <v>210</v>
      </c>
      <c r="BZ4" s="934"/>
      <c r="CA4" s="934"/>
      <c r="CB4" s="934"/>
      <c r="CC4" s="984">
        <f>'Work Scope'!AF13</f>
        <v>0</v>
      </c>
      <c r="CD4" s="951"/>
      <c r="CE4" s="951"/>
      <c r="CF4" s="1018" t="s">
        <v>112</v>
      </c>
      <c r="CG4" s="931"/>
      <c r="CH4" s="931"/>
      <c r="CI4" s="931"/>
      <c r="CJ4" s="931"/>
      <c r="CK4" s="944">
        <f>'Work Scope'!AK13</f>
        <v>0</v>
      </c>
      <c r="CL4" s="944"/>
      <c r="CM4" s="944"/>
      <c r="CN4" s="944"/>
      <c r="CO4" s="944"/>
      <c r="CP4" s="944"/>
      <c r="CQ4" s="934" t="s">
        <v>584</v>
      </c>
      <c r="CR4" s="934"/>
      <c r="CS4" s="934"/>
      <c r="CT4" s="951">
        <f>'Work Scope'!J13</f>
        <v>0</v>
      </c>
      <c r="CU4" s="951"/>
      <c r="CV4" s="951"/>
      <c r="CW4" s="951"/>
      <c r="CX4" s="951"/>
      <c r="CY4" s="951"/>
      <c r="CZ4" s="934" t="s">
        <v>120</v>
      </c>
      <c r="DA4" s="934"/>
      <c r="DB4" s="934"/>
      <c r="DC4" s="988">
        <f>'Work Scope'!P13</f>
        <v>0</v>
      </c>
      <c r="DD4" s="988"/>
      <c r="DE4" s="934" t="s">
        <v>121</v>
      </c>
      <c r="DF4" s="934"/>
      <c r="DG4" s="934"/>
      <c r="DH4" s="934"/>
      <c r="DI4" s="988">
        <f>'Work Scope'!U13</f>
        <v>0</v>
      </c>
      <c r="DJ4" s="988"/>
      <c r="DK4" s="988"/>
      <c r="DL4" s="988"/>
    </row>
    <row r="5" spans="1:116" s="2" customFormat="1" ht="18" customHeight="1" x14ac:dyDescent="0.25">
      <c r="A5" s="170"/>
      <c r="B5" s="170"/>
      <c r="C5" s="170"/>
      <c r="D5" s="170"/>
      <c r="E5" s="170"/>
      <c r="F5" s="170"/>
      <c r="G5" s="170"/>
      <c r="H5" s="170"/>
      <c r="I5" s="170"/>
      <c r="J5" s="170"/>
      <c r="K5" s="170"/>
      <c r="L5" s="170"/>
      <c r="M5" s="170"/>
      <c r="N5" s="170"/>
      <c r="O5" s="170"/>
      <c r="P5" s="170"/>
      <c r="Q5" s="170"/>
      <c r="R5" s="945" t="s">
        <v>469</v>
      </c>
      <c r="S5" s="945"/>
      <c r="T5" s="945"/>
      <c r="U5" s="945"/>
      <c r="V5" s="945"/>
      <c r="W5" s="945" t="s">
        <v>470</v>
      </c>
      <c r="X5" s="945"/>
      <c r="Y5" s="945"/>
      <c r="Z5" s="945"/>
      <c r="AA5" s="945"/>
      <c r="AB5" s="945" t="s">
        <v>1028</v>
      </c>
      <c r="AC5" s="945"/>
      <c r="AD5" s="945"/>
      <c r="AE5" s="945"/>
      <c r="AF5" s="945"/>
      <c r="AG5" s="170"/>
      <c r="AH5" s="965" t="s">
        <v>59</v>
      </c>
      <c r="AI5" s="965"/>
      <c r="AJ5" s="965"/>
      <c r="AK5" s="965"/>
      <c r="AL5" s="965"/>
      <c r="AM5" s="965"/>
      <c r="AN5" s="965"/>
      <c r="AO5" s="965"/>
      <c r="AP5" s="965"/>
      <c r="AQ5" s="965"/>
      <c r="AR5" s="965"/>
      <c r="AS5" s="965"/>
      <c r="AT5" s="965"/>
      <c r="AU5" s="965"/>
      <c r="AV5" s="965"/>
      <c r="AW5" s="981">
        <f>'Work Scope'!E14</f>
        <v>0</v>
      </c>
      <c r="AX5" s="982"/>
      <c r="AY5" s="982"/>
      <c r="AZ5" s="989">
        <f>'Work Scope'!B12</f>
        <v>0</v>
      </c>
      <c r="BA5" s="990"/>
      <c r="BB5" s="1004">
        <f>IFERROR(('Work Scope'!X12/'Work Scope'!T12)*'Work Scope'!E14,0)</f>
        <v>0</v>
      </c>
      <c r="BC5" s="1005"/>
      <c r="BD5" s="1005"/>
      <c r="BE5" s="1005"/>
      <c r="BF5" s="1004">
        <f>'Work Scope'!N12</f>
        <v>0</v>
      </c>
      <c r="BG5" s="1005"/>
      <c r="BH5" s="1005"/>
      <c r="BI5" s="1005"/>
      <c r="BJ5" s="1001" t="str">
        <f>IFERROR(BB5/AW5," ")</f>
        <v xml:space="preserve"> </v>
      </c>
      <c r="BK5" s="1002"/>
      <c r="BL5" s="1002"/>
      <c r="BM5" s="1003"/>
      <c r="BN5" s="1001">
        <f>'HE-PY26 Pricing'!C9</f>
        <v>1.9</v>
      </c>
      <c r="BO5" s="1002"/>
      <c r="BP5" s="1002"/>
      <c r="BQ5" s="1003"/>
      <c r="BR5" s="939" t="s">
        <v>209</v>
      </c>
      <c r="BS5" s="939"/>
      <c r="BT5" s="939"/>
      <c r="BU5" s="939"/>
      <c r="BV5" s="985">
        <f>'Work Scope'!AA14</f>
        <v>0</v>
      </c>
      <c r="BW5" s="982"/>
      <c r="BX5" s="1020"/>
      <c r="BY5" s="939" t="s">
        <v>210</v>
      </c>
      <c r="BZ5" s="939"/>
      <c r="CA5" s="939"/>
      <c r="CB5" s="939"/>
      <c r="CC5" s="986">
        <f>'Work Scope'!AF14</f>
        <v>0</v>
      </c>
      <c r="CD5" s="982"/>
      <c r="CE5" s="982"/>
      <c r="CF5" s="1022" t="s">
        <v>112</v>
      </c>
      <c r="CG5" s="945"/>
      <c r="CH5" s="945"/>
      <c r="CI5" s="945"/>
      <c r="CJ5" s="945"/>
      <c r="CK5" s="1024">
        <f>'Work Scope'!AK14</f>
        <v>0</v>
      </c>
      <c r="CL5" s="1024"/>
      <c r="CM5" s="1024"/>
      <c r="CN5" s="1024"/>
      <c r="CO5" s="1024"/>
      <c r="CP5" s="1024"/>
      <c r="CQ5" s="939" t="s">
        <v>584</v>
      </c>
      <c r="CR5" s="939"/>
      <c r="CS5" s="939"/>
      <c r="CT5" s="982">
        <f>'Work Scope'!J14</f>
        <v>0</v>
      </c>
      <c r="CU5" s="982"/>
      <c r="CV5" s="982"/>
      <c r="CW5" s="982"/>
      <c r="CX5" s="982"/>
      <c r="CY5" s="982"/>
      <c r="CZ5" s="939" t="s">
        <v>120</v>
      </c>
      <c r="DA5" s="939"/>
      <c r="DB5" s="939"/>
      <c r="DC5" s="990">
        <f>'Work Scope'!P14</f>
        <v>0</v>
      </c>
      <c r="DD5" s="990"/>
      <c r="DE5" s="939" t="s">
        <v>121</v>
      </c>
      <c r="DF5" s="939"/>
      <c r="DG5" s="939"/>
      <c r="DH5" s="939"/>
      <c r="DI5" s="990">
        <f>'Work Scope'!U14</f>
        <v>0</v>
      </c>
      <c r="DJ5" s="990"/>
      <c r="DK5" s="990"/>
      <c r="DL5" s="990"/>
    </row>
    <row r="6" spans="1:116" s="2" customFormat="1" ht="18" customHeight="1" x14ac:dyDescent="0.25">
      <c r="A6" s="942" t="s">
        <v>191</v>
      </c>
      <c r="B6" s="942"/>
      <c r="C6" s="942"/>
      <c r="D6" s="942"/>
      <c r="E6" s="942"/>
      <c r="F6" s="967">
        <f>'Project Information'!G20</f>
        <v>0</v>
      </c>
      <c r="G6" s="967"/>
      <c r="H6" s="967"/>
      <c r="I6" s="967"/>
      <c r="J6" s="967"/>
      <c r="K6" s="967"/>
      <c r="L6" s="967"/>
      <c r="M6" s="967"/>
      <c r="N6" s="967"/>
      <c r="O6" s="967"/>
      <c r="P6" s="967"/>
      <c r="Q6" s="967"/>
      <c r="R6" s="1017">
        <f>'Work Scope'!H82</f>
        <v>0</v>
      </c>
      <c r="S6" s="1017"/>
      <c r="T6" s="1017"/>
      <c r="U6" s="1017"/>
      <c r="V6" s="1017"/>
      <c r="W6" s="1017">
        <f>'Work Scope'!S82</f>
        <v>0</v>
      </c>
      <c r="X6" s="1017"/>
      <c r="Y6" s="1017"/>
      <c r="Z6" s="1017"/>
      <c r="AA6" s="1017"/>
      <c r="AB6" s="1017">
        <f>'Work Scope'!AB82</f>
        <v>0</v>
      </c>
      <c r="AC6" s="1017"/>
      <c r="AD6" s="1017"/>
      <c r="AE6" s="1017"/>
      <c r="AF6" s="1017"/>
      <c r="AG6" s="170"/>
      <c r="AH6" s="975" t="s">
        <v>60</v>
      </c>
      <c r="AI6" s="975"/>
      <c r="AJ6" s="975"/>
      <c r="AK6" s="975"/>
      <c r="AL6" s="975"/>
      <c r="AM6" s="975"/>
      <c r="AN6" s="975"/>
      <c r="AO6" s="975"/>
      <c r="AP6" s="975"/>
      <c r="AQ6" s="975"/>
      <c r="AR6" s="975"/>
      <c r="AS6" s="975"/>
      <c r="AT6" s="975"/>
      <c r="AU6" s="975"/>
      <c r="AV6" s="975"/>
      <c r="AW6" s="991">
        <f>'Work Scope'!E16</f>
        <v>0</v>
      </c>
      <c r="AX6" s="951"/>
      <c r="AY6" s="951"/>
      <c r="AZ6" s="987">
        <f>'Work Scope'!B15</f>
        <v>0</v>
      </c>
      <c r="BA6" s="988"/>
      <c r="BB6" s="1006">
        <f>IFERROR(('Work Scope'!X15/'Work Scope'!T15)*'Work Scope'!E16,0)</f>
        <v>0</v>
      </c>
      <c r="BC6" s="1007"/>
      <c r="BD6" s="1007"/>
      <c r="BE6" s="1007"/>
      <c r="BF6" s="1006">
        <f>'Work Scope'!N15</f>
        <v>0</v>
      </c>
      <c r="BG6" s="1007"/>
      <c r="BH6" s="1007"/>
      <c r="BI6" s="1007"/>
      <c r="BJ6" s="973" t="str">
        <f>IFERROR(BB6/AW6," ")</f>
        <v xml:space="preserve"> </v>
      </c>
      <c r="BK6" s="974"/>
      <c r="BL6" s="974"/>
      <c r="BM6" s="1008"/>
      <c r="BN6" s="973">
        <f>'HE-PY26 Pricing'!C10</f>
        <v>1.55</v>
      </c>
      <c r="BO6" s="974"/>
      <c r="BP6" s="974"/>
      <c r="BQ6" s="1008"/>
      <c r="BR6" s="934" t="s">
        <v>209</v>
      </c>
      <c r="BS6" s="934"/>
      <c r="BT6" s="934"/>
      <c r="BU6" s="934"/>
      <c r="BV6" s="983">
        <f>'Work Scope'!AA16</f>
        <v>0</v>
      </c>
      <c r="BW6" s="951"/>
      <c r="BX6" s="1021"/>
      <c r="BY6" s="934" t="s">
        <v>210</v>
      </c>
      <c r="BZ6" s="934"/>
      <c r="CA6" s="934"/>
      <c r="CB6" s="934"/>
      <c r="CC6" s="984">
        <f>'Work Scope'!AF16</f>
        <v>0</v>
      </c>
      <c r="CD6" s="951"/>
      <c r="CE6" s="951"/>
      <c r="CF6" s="1018" t="s">
        <v>112</v>
      </c>
      <c r="CG6" s="931"/>
      <c r="CH6" s="931"/>
      <c r="CI6" s="931"/>
      <c r="CJ6" s="931"/>
      <c r="CK6" s="944">
        <f>'Work Scope'!AK16</f>
        <v>0</v>
      </c>
      <c r="CL6" s="944"/>
      <c r="CM6" s="944"/>
      <c r="CN6" s="944"/>
      <c r="CO6" s="944"/>
      <c r="CP6" s="944"/>
      <c r="CQ6" s="934" t="s">
        <v>584</v>
      </c>
      <c r="CR6" s="934"/>
      <c r="CS6" s="934"/>
      <c r="CT6" s="951">
        <f>'Work Scope'!J16</f>
        <v>0</v>
      </c>
      <c r="CU6" s="951"/>
      <c r="CV6" s="951"/>
      <c r="CW6" s="951"/>
      <c r="CX6" s="951"/>
      <c r="CY6" s="951"/>
      <c r="CZ6" s="934" t="s">
        <v>120</v>
      </c>
      <c r="DA6" s="934"/>
      <c r="DB6" s="934"/>
      <c r="DC6" s="988">
        <f>'Work Scope'!P16</f>
        <v>0</v>
      </c>
      <c r="DD6" s="988"/>
      <c r="DE6" s="934" t="s">
        <v>121</v>
      </c>
      <c r="DF6" s="934"/>
      <c r="DG6" s="934"/>
      <c r="DH6" s="934"/>
      <c r="DI6" s="988">
        <f>'Work Scope'!U16</f>
        <v>0</v>
      </c>
      <c r="DJ6" s="988"/>
      <c r="DK6" s="988"/>
      <c r="DL6" s="988"/>
    </row>
    <row r="7" spans="1:116" s="2" customFormat="1" ht="18" customHeight="1" x14ac:dyDescent="0.25">
      <c r="A7" s="934" t="s">
        <v>190</v>
      </c>
      <c r="B7" s="934"/>
      <c r="C7" s="934"/>
      <c r="D7" s="934"/>
      <c r="E7" s="934"/>
      <c r="F7" s="952">
        <f>'Project Information'!G23</f>
        <v>0</v>
      </c>
      <c r="G7" s="952"/>
      <c r="H7" s="952"/>
      <c r="I7" s="952"/>
      <c r="J7" s="952"/>
      <c r="K7" s="952"/>
      <c r="L7" s="952"/>
      <c r="M7" s="952"/>
      <c r="N7" s="952"/>
      <c r="O7" s="952"/>
      <c r="P7" s="952"/>
      <c r="Q7" s="952"/>
      <c r="R7" s="1016">
        <f>'Work Scope'!H83</f>
        <v>0</v>
      </c>
      <c r="S7" s="1016"/>
      <c r="T7" s="1016"/>
      <c r="U7" s="1016"/>
      <c r="V7" s="1016"/>
      <c r="W7" s="1016">
        <f>'Work Scope'!S83</f>
        <v>0</v>
      </c>
      <c r="X7" s="1016"/>
      <c r="Y7" s="1016"/>
      <c r="Z7" s="1016"/>
      <c r="AA7" s="1016"/>
      <c r="AB7" s="1016">
        <f>'Work Scope'!AB83</f>
        <v>0</v>
      </c>
      <c r="AC7" s="1016"/>
      <c r="AD7" s="1016"/>
      <c r="AE7" s="1016"/>
      <c r="AF7" s="1016"/>
      <c r="AG7" s="170"/>
      <c r="AH7" s="965" t="s">
        <v>60</v>
      </c>
      <c r="AI7" s="965"/>
      <c r="AJ7" s="965"/>
      <c r="AK7" s="965"/>
      <c r="AL7" s="965"/>
      <c r="AM7" s="965"/>
      <c r="AN7" s="965"/>
      <c r="AO7" s="965"/>
      <c r="AP7" s="965"/>
      <c r="AQ7" s="965"/>
      <c r="AR7" s="965"/>
      <c r="AS7" s="965"/>
      <c r="AT7" s="965"/>
      <c r="AU7" s="965"/>
      <c r="AV7" s="965"/>
      <c r="AW7" s="981">
        <f>'Work Scope'!E17</f>
        <v>0</v>
      </c>
      <c r="AX7" s="982"/>
      <c r="AY7" s="982"/>
      <c r="AZ7" s="989">
        <f>'Work Scope'!B15</f>
        <v>0</v>
      </c>
      <c r="BA7" s="990"/>
      <c r="BB7" s="1004">
        <f>IFERROR(('Work Scope'!X15/'Work Scope'!T15)*'Work Scope'!E17,0)</f>
        <v>0</v>
      </c>
      <c r="BC7" s="1005"/>
      <c r="BD7" s="1005"/>
      <c r="BE7" s="1005"/>
      <c r="BF7" s="1004">
        <f>'Work Scope'!N15</f>
        <v>0</v>
      </c>
      <c r="BG7" s="1005"/>
      <c r="BH7" s="1005"/>
      <c r="BI7" s="1005"/>
      <c r="BJ7" s="1001" t="str">
        <f t="shared" ref="BJ7:BJ18" si="0">IFERROR(BB7/AW7,"")</f>
        <v/>
      </c>
      <c r="BK7" s="1002"/>
      <c r="BL7" s="1002"/>
      <c r="BM7" s="1003"/>
      <c r="BN7" s="1001">
        <f>'HE-PY26 Pricing'!C10</f>
        <v>1.55</v>
      </c>
      <c r="BO7" s="1002"/>
      <c r="BP7" s="1002"/>
      <c r="BQ7" s="1003"/>
      <c r="BR7" s="939" t="s">
        <v>209</v>
      </c>
      <c r="BS7" s="939"/>
      <c r="BT7" s="939"/>
      <c r="BU7" s="939"/>
      <c r="BV7" s="985">
        <f>'Work Scope'!AA17</f>
        <v>0</v>
      </c>
      <c r="BW7" s="982"/>
      <c r="BX7" s="1020"/>
      <c r="BY7" s="939" t="s">
        <v>210</v>
      </c>
      <c r="BZ7" s="939"/>
      <c r="CA7" s="939"/>
      <c r="CB7" s="939"/>
      <c r="CC7" s="986">
        <f>'Work Scope'!AF17</f>
        <v>0</v>
      </c>
      <c r="CD7" s="982"/>
      <c r="CE7" s="982"/>
      <c r="CF7" s="1022" t="s">
        <v>112</v>
      </c>
      <c r="CG7" s="945"/>
      <c r="CH7" s="945"/>
      <c r="CI7" s="945"/>
      <c r="CJ7" s="945"/>
      <c r="CK7" s="1024">
        <f>'Work Scope'!AK17</f>
        <v>0</v>
      </c>
      <c r="CL7" s="1024"/>
      <c r="CM7" s="1024"/>
      <c r="CN7" s="1024"/>
      <c r="CO7" s="1024"/>
      <c r="CP7" s="1024"/>
      <c r="CQ7" s="939" t="s">
        <v>584</v>
      </c>
      <c r="CR7" s="939"/>
      <c r="CS7" s="939"/>
      <c r="CT7" s="982">
        <f>'Work Scope'!J17</f>
        <v>0</v>
      </c>
      <c r="CU7" s="982"/>
      <c r="CV7" s="982"/>
      <c r="CW7" s="982"/>
      <c r="CX7" s="982"/>
      <c r="CY7" s="982"/>
      <c r="CZ7" s="939" t="s">
        <v>120</v>
      </c>
      <c r="DA7" s="939"/>
      <c r="DB7" s="939"/>
      <c r="DC7" s="990">
        <f>'Work Scope'!P17</f>
        <v>0</v>
      </c>
      <c r="DD7" s="990"/>
      <c r="DE7" s="939" t="s">
        <v>121</v>
      </c>
      <c r="DF7" s="939"/>
      <c r="DG7" s="939"/>
      <c r="DH7" s="939"/>
      <c r="DI7" s="990">
        <f>'Work Scope'!U17</f>
        <v>0</v>
      </c>
      <c r="DJ7" s="990"/>
      <c r="DK7" s="990"/>
      <c r="DL7" s="990"/>
    </row>
    <row r="8" spans="1:116" s="2" customFormat="1" ht="18" customHeight="1" x14ac:dyDescent="0.25">
      <c r="A8" s="471"/>
      <c r="B8" s="471"/>
      <c r="C8" s="471"/>
      <c r="D8" s="471"/>
      <c r="E8" s="471"/>
      <c r="F8" s="201"/>
      <c r="G8" s="201"/>
      <c r="H8" s="201"/>
      <c r="I8" s="201"/>
      <c r="J8" s="201"/>
      <c r="K8" s="201"/>
      <c r="L8" s="201"/>
      <c r="M8" s="201"/>
      <c r="N8" s="201"/>
      <c r="O8" s="201"/>
      <c r="P8" s="201"/>
      <c r="Q8" s="201"/>
      <c r="R8" s="472"/>
      <c r="S8" s="472"/>
      <c r="T8" s="472"/>
      <c r="U8" s="472"/>
      <c r="V8" s="472"/>
      <c r="W8" s="472"/>
      <c r="X8" s="472"/>
      <c r="Y8" s="472"/>
      <c r="Z8" s="472"/>
      <c r="AA8" s="472"/>
      <c r="AB8" s="472"/>
      <c r="AC8" s="472"/>
      <c r="AD8" s="472"/>
      <c r="AE8" s="472"/>
      <c r="AF8" s="472"/>
      <c r="AG8" s="170"/>
      <c r="AH8" s="975" t="s">
        <v>1412</v>
      </c>
      <c r="AI8" s="975"/>
      <c r="AJ8" s="975"/>
      <c r="AK8" s="975"/>
      <c r="AL8" s="975"/>
      <c r="AM8" s="975"/>
      <c r="AN8" s="975"/>
      <c r="AO8" s="975"/>
      <c r="AP8" s="975"/>
      <c r="AQ8" s="975"/>
      <c r="AR8" s="975"/>
      <c r="AS8" s="975"/>
      <c r="AT8" s="975"/>
      <c r="AU8" s="975"/>
      <c r="AV8" s="975"/>
      <c r="AW8" s="991">
        <f>'Work Scope'!E19</f>
        <v>0</v>
      </c>
      <c r="AX8" s="951"/>
      <c r="AY8" s="951"/>
      <c r="AZ8" s="987">
        <f>'Work Scope'!B18</f>
        <v>0</v>
      </c>
      <c r="BA8" s="988"/>
      <c r="BB8" s="1006">
        <f>IFERROR(('Work Scope'!X18/'Work Scope'!T18)*'Work Scope'!E19,0)</f>
        <v>0</v>
      </c>
      <c r="BC8" s="1007"/>
      <c r="BD8" s="1007"/>
      <c r="BE8" s="1007"/>
      <c r="BF8" s="1006">
        <f>'Work Scope'!N18</f>
        <v>0</v>
      </c>
      <c r="BG8" s="1007"/>
      <c r="BH8" s="1007"/>
      <c r="BI8" s="1007"/>
      <c r="BJ8" s="973" t="str">
        <f t="shared" si="0"/>
        <v/>
      </c>
      <c r="BK8" s="974"/>
      <c r="BL8" s="974"/>
      <c r="BM8" s="1008"/>
      <c r="BN8" s="973">
        <f>'HE-PY26 Pricing'!C11</f>
        <v>1.2</v>
      </c>
      <c r="BO8" s="974"/>
      <c r="BP8" s="974"/>
      <c r="BQ8" s="1008"/>
      <c r="BR8" s="934" t="s">
        <v>209</v>
      </c>
      <c r="BS8" s="934"/>
      <c r="BT8" s="934"/>
      <c r="BU8" s="934"/>
      <c r="BV8" s="983">
        <f>'Work Scope'!AA19</f>
        <v>0</v>
      </c>
      <c r="BW8" s="951"/>
      <c r="BX8" s="1021"/>
      <c r="BY8" s="934" t="s">
        <v>210</v>
      </c>
      <c r="BZ8" s="934"/>
      <c r="CA8" s="934"/>
      <c r="CB8" s="934"/>
      <c r="CC8" s="984">
        <f>'Work Scope'!AF19</f>
        <v>0</v>
      </c>
      <c r="CD8" s="951"/>
      <c r="CE8" s="951"/>
      <c r="CF8" s="1018" t="s">
        <v>112</v>
      </c>
      <c r="CG8" s="931"/>
      <c r="CH8" s="931"/>
      <c r="CI8" s="931"/>
      <c r="CJ8" s="931"/>
      <c r="CK8" s="944">
        <f>'Work Scope'!AK19</f>
        <v>0</v>
      </c>
      <c r="CL8" s="944"/>
      <c r="CM8" s="944"/>
      <c r="CN8" s="944"/>
      <c r="CO8" s="944"/>
      <c r="CP8" s="944"/>
      <c r="CQ8" s="934" t="s">
        <v>584</v>
      </c>
      <c r="CR8" s="934"/>
      <c r="CS8" s="934"/>
      <c r="CT8" s="951">
        <f>'Work Scope'!J19</f>
        <v>0</v>
      </c>
      <c r="CU8" s="951"/>
      <c r="CV8" s="951"/>
      <c r="CW8" s="951"/>
      <c r="CX8" s="951"/>
      <c r="CY8" s="951"/>
      <c r="CZ8" s="934" t="s">
        <v>120</v>
      </c>
      <c r="DA8" s="934"/>
      <c r="DB8" s="934"/>
      <c r="DC8" s="988">
        <f>'Work Scope'!P19</f>
        <v>0</v>
      </c>
      <c r="DD8" s="988"/>
      <c r="DE8" s="934" t="s">
        <v>121</v>
      </c>
      <c r="DF8" s="934"/>
      <c r="DG8" s="934"/>
      <c r="DH8" s="934"/>
      <c r="DI8" s="988">
        <f>'Work Scope'!U19</f>
        <v>0</v>
      </c>
      <c r="DJ8" s="988"/>
      <c r="DK8" s="988"/>
      <c r="DL8" s="988"/>
    </row>
    <row r="9" spans="1:116" s="2" customFormat="1" ht="18" customHeight="1" x14ac:dyDescent="0.25">
      <c r="A9" s="471"/>
      <c r="B9" s="471"/>
      <c r="C9" s="471"/>
      <c r="D9" s="471"/>
      <c r="E9" s="471"/>
      <c r="F9" s="201"/>
      <c r="G9" s="201"/>
      <c r="H9" s="201"/>
      <c r="I9" s="201"/>
      <c r="J9" s="201"/>
      <c r="K9" s="201"/>
      <c r="L9" s="201"/>
      <c r="M9" s="201"/>
      <c r="N9" s="201"/>
      <c r="O9" s="201"/>
      <c r="P9" s="201"/>
      <c r="Q9" s="201"/>
      <c r="R9" s="472"/>
      <c r="S9" s="472"/>
      <c r="T9" s="472"/>
      <c r="U9" s="472"/>
      <c r="V9" s="472"/>
      <c r="W9" s="472"/>
      <c r="X9" s="472"/>
      <c r="Y9" s="472"/>
      <c r="Z9" s="472"/>
      <c r="AA9" s="472"/>
      <c r="AB9" s="472"/>
      <c r="AC9" s="472"/>
      <c r="AD9" s="472"/>
      <c r="AE9" s="472"/>
      <c r="AF9" s="472"/>
      <c r="AG9" s="170"/>
      <c r="AH9" s="965" t="s">
        <v>1412</v>
      </c>
      <c r="AI9" s="965"/>
      <c r="AJ9" s="965"/>
      <c r="AK9" s="965"/>
      <c r="AL9" s="965"/>
      <c r="AM9" s="965"/>
      <c r="AN9" s="965"/>
      <c r="AO9" s="965"/>
      <c r="AP9" s="965"/>
      <c r="AQ9" s="965"/>
      <c r="AR9" s="965"/>
      <c r="AS9" s="965"/>
      <c r="AT9" s="965"/>
      <c r="AU9" s="965"/>
      <c r="AV9" s="965"/>
      <c r="AW9" s="981">
        <f>'Work Scope'!E20</f>
        <v>0</v>
      </c>
      <c r="AX9" s="982"/>
      <c r="AY9" s="982"/>
      <c r="AZ9" s="989">
        <f>'Work Scope'!B18</f>
        <v>0</v>
      </c>
      <c r="BA9" s="990"/>
      <c r="BB9" s="1004">
        <f>IFERROR(('Work Scope'!X18/'Work Scope'!T18)*'Work Scope'!E20,0)</f>
        <v>0</v>
      </c>
      <c r="BC9" s="1005"/>
      <c r="BD9" s="1005"/>
      <c r="BE9" s="1005"/>
      <c r="BF9" s="1006">
        <f>'Work Scope'!N18</f>
        <v>0</v>
      </c>
      <c r="BG9" s="1007"/>
      <c r="BH9" s="1007"/>
      <c r="BI9" s="1007"/>
      <c r="BJ9" s="1001" t="str">
        <f t="shared" si="0"/>
        <v/>
      </c>
      <c r="BK9" s="1002"/>
      <c r="BL9" s="1002"/>
      <c r="BM9" s="1003"/>
      <c r="BN9" s="1001">
        <f>'HE-PY26 Pricing'!C11</f>
        <v>1.2</v>
      </c>
      <c r="BO9" s="1002"/>
      <c r="BP9" s="1002"/>
      <c r="BQ9" s="1003"/>
      <c r="BR9" s="939" t="s">
        <v>209</v>
      </c>
      <c r="BS9" s="939"/>
      <c r="BT9" s="939"/>
      <c r="BU9" s="939"/>
      <c r="BV9" s="985">
        <f>'Work Scope'!AA20</f>
        <v>0</v>
      </c>
      <c r="BW9" s="982"/>
      <c r="BX9" s="1020"/>
      <c r="BY9" s="939" t="s">
        <v>210</v>
      </c>
      <c r="BZ9" s="939"/>
      <c r="CA9" s="939"/>
      <c r="CB9" s="939"/>
      <c r="CC9" s="986">
        <f>'Work Scope'!AF20</f>
        <v>0</v>
      </c>
      <c r="CD9" s="982"/>
      <c r="CE9" s="982"/>
      <c r="CF9" s="1022" t="s">
        <v>112</v>
      </c>
      <c r="CG9" s="945"/>
      <c r="CH9" s="945"/>
      <c r="CI9" s="945"/>
      <c r="CJ9" s="945"/>
      <c r="CK9" s="1024">
        <f>'Work Scope'!AK20</f>
        <v>0</v>
      </c>
      <c r="CL9" s="1024"/>
      <c r="CM9" s="1024"/>
      <c r="CN9" s="1024"/>
      <c r="CO9" s="1024"/>
      <c r="CP9" s="1024"/>
      <c r="CQ9" s="939" t="s">
        <v>584</v>
      </c>
      <c r="CR9" s="939"/>
      <c r="CS9" s="939"/>
      <c r="CT9" s="982">
        <f>'Work Scope'!J20</f>
        <v>0</v>
      </c>
      <c r="CU9" s="982"/>
      <c r="CV9" s="982"/>
      <c r="CW9" s="982"/>
      <c r="CX9" s="982"/>
      <c r="CY9" s="982"/>
      <c r="CZ9" s="939" t="s">
        <v>120</v>
      </c>
      <c r="DA9" s="939"/>
      <c r="DB9" s="939"/>
      <c r="DC9" s="990">
        <f>'Work Scope'!P20</f>
        <v>0</v>
      </c>
      <c r="DD9" s="990"/>
      <c r="DE9" s="939" t="s">
        <v>121</v>
      </c>
      <c r="DF9" s="939"/>
      <c r="DG9" s="939"/>
      <c r="DH9" s="939"/>
      <c r="DI9" s="990">
        <f>'Work Scope'!U20</f>
        <v>0</v>
      </c>
      <c r="DJ9" s="990"/>
      <c r="DK9" s="990"/>
      <c r="DL9" s="990"/>
    </row>
    <row r="10" spans="1:116" s="2" customFormat="1" ht="18" customHeight="1" x14ac:dyDescent="0.25">
      <c r="A10" s="170"/>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975" t="s">
        <v>37</v>
      </c>
      <c r="AI10" s="975"/>
      <c r="AJ10" s="975"/>
      <c r="AK10" s="975"/>
      <c r="AL10" s="975"/>
      <c r="AM10" s="975"/>
      <c r="AN10" s="975"/>
      <c r="AO10" s="975"/>
      <c r="AP10" s="975"/>
      <c r="AQ10" s="975"/>
      <c r="AR10" s="975"/>
      <c r="AS10" s="975"/>
      <c r="AT10" s="975"/>
      <c r="AU10" s="975"/>
      <c r="AV10" s="975"/>
      <c r="AW10" s="983">
        <f>'Work Scope'!T21</f>
        <v>0</v>
      </c>
      <c r="AX10" s="984"/>
      <c r="AY10" s="984"/>
      <c r="AZ10" s="987">
        <f>'Work Scope'!B21</f>
        <v>0</v>
      </c>
      <c r="BA10" s="988"/>
      <c r="BB10" s="1006">
        <f>'Work Scope'!X21</f>
        <v>0</v>
      </c>
      <c r="BC10" s="1007"/>
      <c r="BD10" s="1007"/>
      <c r="BE10" s="1007"/>
      <c r="BF10" s="1006">
        <f>'Work Scope'!N21</f>
        <v>0</v>
      </c>
      <c r="BG10" s="1007"/>
      <c r="BH10" s="1007"/>
      <c r="BI10" s="1007"/>
      <c r="BJ10" s="973" t="str">
        <f t="shared" si="0"/>
        <v/>
      </c>
      <c r="BK10" s="974"/>
      <c r="BL10" s="974"/>
      <c r="BM10" s="1008"/>
      <c r="BN10" s="973">
        <f>'HE-PY26 Pricing'!C12</f>
        <v>5.05</v>
      </c>
      <c r="BO10" s="974"/>
      <c r="BP10" s="974"/>
      <c r="BQ10" s="1008"/>
      <c r="BR10" s="934" t="s">
        <v>209</v>
      </c>
      <c r="BS10" s="934"/>
      <c r="BT10" s="934"/>
      <c r="BU10" s="934"/>
      <c r="BV10" s="983">
        <f>'Work Scope'!AA22</f>
        <v>0</v>
      </c>
      <c r="BW10" s="951"/>
      <c r="BX10" s="1021"/>
      <c r="BY10" s="934" t="s">
        <v>210</v>
      </c>
      <c r="BZ10" s="934"/>
      <c r="CA10" s="934"/>
      <c r="CB10" s="934"/>
      <c r="CC10" s="984">
        <f>'Work Scope'!AF22</f>
        <v>0</v>
      </c>
      <c r="CD10" s="951"/>
      <c r="CE10" s="951"/>
      <c r="CF10" s="1018" t="s">
        <v>112</v>
      </c>
      <c r="CG10" s="931"/>
      <c r="CH10" s="931"/>
      <c r="CI10" s="931"/>
      <c r="CJ10" s="931"/>
      <c r="CK10" s="944">
        <f>'Work Scope'!AK22</f>
        <v>0</v>
      </c>
      <c r="CL10" s="944"/>
      <c r="CM10" s="944"/>
      <c r="CN10" s="944"/>
      <c r="CO10" s="944"/>
      <c r="CP10" s="944"/>
    </row>
    <row r="11" spans="1:116" s="2" customFormat="1" ht="18" customHeight="1" x14ac:dyDescent="0.25">
      <c r="A11" s="192" t="s">
        <v>4</v>
      </c>
      <c r="B11" s="170"/>
      <c r="C11" s="170"/>
      <c r="D11" s="170"/>
      <c r="E11" s="170"/>
      <c r="F11" s="170"/>
      <c r="G11" s="170"/>
      <c r="H11" s="170"/>
      <c r="I11" s="170"/>
      <c r="J11" s="170"/>
      <c r="K11" s="170"/>
      <c r="L11" s="170"/>
      <c r="M11" s="170"/>
      <c r="N11" s="170"/>
      <c r="O11" s="170"/>
      <c r="P11" s="170"/>
      <c r="Q11" s="170"/>
      <c r="R11" s="192" t="s">
        <v>5</v>
      </c>
      <c r="S11" s="170"/>
      <c r="T11" s="170"/>
      <c r="U11" s="170"/>
      <c r="V11" s="170"/>
      <c r="W11" s="170"/>
      <c r="X11" s="170"/>
      <c r="Y11" s="170"/>
      <c r="Z11" s="170"/>
      <c r="AA11" s="170"/>
      <c r="AB11" s="170"/>
      <c r="AC11" s="170"/>
      <c r="AD11" s="170"/>
      <c r="AE11" s="170"/>
      <c r="AF11" s="170"/>
      <c r="AG11" s="170"/>
      <c r="AH11" s="965" t="s">
        <v>39</v>
      </c>
      <c r="AI11" s="965"/>
      <c r="AJ11" s="965"/>
      <c r="AK11" s="965"/>
      <c r="AL11" s="965"/>
      <c r="AM11" s="965"/>
      <c r="AN11" s="965"/>
      <c r="AO11" s="965"/>
      <c r="AP11" s="965"/>
      <c r="AQ11" s="965"/>
      <c r="AR11" s="965"/>
      <c r="AS11" s="965"/>
      <c r="AT11" s="965"/>
      <c r="AU11" s="965"/>
      <c r="AV11" s="965"/>
      <c r="AW11" s="985">
        <f>'Work Scope'!T23</f>
        <v>0</v>
      </c>
      <c r="AX11" s="986"/>
      <c r="AY11" s="986"/>
      <c r="AZ11" s="989">
        <f>'Work Scope'!B23</f>
        <v>0</v>
      </c>
      <c r="BA11" s="990"/>
      <c r="BB11" s="1004">
        <f>'Work Scope'!X23</f>
        <v>0</v>
      </c>
      <c r="BC11" s="1005"/>
      <c r="BD11" s="1005"/>
      <c r="BE11" s="1005"/>
      <c r="BF11" s="1004">
        <f>'Work Scope'!N23</f>
        <v>0</v>
      </c>
      <c r="BG11" s="1005"/>
      <c r="BH11" s="1005"/>
      <c r="BI11" s="1005"/>
      <c r="BJ11" s="1001" t="str">
        <f t="shared" si="0"/>
        <v/>
      </c>
      <c r="BK11" s="1002"/>
      <c r="BL11" s="1002"/>
      <c r="BM11" s="1003"/>
      <c r="BN11" s="1001">
        <f>'HE-PY26 Pricing'!C13</f>
        <v>2.2999999999999998</v>
      </c>
      <c r="BO11" s="1002"/>
      <c r="BP11" s="1002"/>
      <c r="BQ11" s="1003"/>
      <c r="BR11" s="939" t="s">
        <v>209</v>
      </c>
      <c r="BS11" s="939"/>
      <c r="BT11" s="939"/>
      <c r="BU11" s="939"/>
      <c r="BV11" s="985">
        <f>'Work Scope'!AA24</f>
        <v>0</v>
      </c>
      <c r="BW11" s="982"/>
      <c r="BX11" s="1020"/>
      <c r="BY11" s="939" t="s">
        <v>210</v>
      </c>
      <c r="BZ11" s="939"/>
      <c r="CA11" s="939"/>
      <c r="CB11" s="939"/>
      <c r="CC11" s="986">
        <f>'Work Scope'!AF24</f>
        <v>0</v>
      </c>
      <c r="CD11" s="982"/>
      <c r="CE11" s="982"/>
      <c r="CF11" s="1022" t="s">
        <v>112</v>
      </c>
      <c r="CG11" s="945"/>
      <c r="CH11" s="945"/>
      <c r="CI11" s="945"/>
      <c r="CJ11" s="945"/>
      <c r="CK11" s="1024">
        <f>'Work Scope'!AK24</f>
        <v>0</v>
      </c>
      <c r="CL11" s="1024"/>
      <c r="CM11" s="1024"/>
      <c r="CN11" s="1024"/>
      <c r="CO11" s="1024"/>
      <c r="CP11" s="1024"/>
      <c r="CQ11" s="945" t="s">
        <v>602</v>
      </c>
      <c r="CR11" s="945"/>
      <c r="CS11" s="945"/>
      <c r="CT11" s="945"/>
      <c r="CU11" s="945"/>
      <c r="CV11" s="945"/>
      <c r="CW11" s="945"/>
      <c r="CX11" s="945"/>
      <c r="CY11" s="945"/>
      <c r="CZ11" s="945"/>
      <c r="DA11" s="945"/>
      <c r="DB11" s="945"/>
      <c r="DC11" s="945"/>
      <c r="DD11" s="945"/>
      <c r="DE11" s="990">
        <f>'Work Scope'!N24</f>
        <v>0</v>
      </c>
      <c r="DF11" s="990"/>
    </row>
    <row r="12" spans="1:116" s="2" customFormat="1" ht="18" customHeight="1" x14ac:dyDescent="0.25">
      <c r="A12" s="942" t="s">
        <v>484</v>
      </c>
      <c r="B12" s="942"/>
      <c r="C12" s="942"/>
      <c r="D12" s="942"/>
      <c r="E12" s="943"/>
      <c r="F12" s="1015">
        <f>'Project Information'!D30</f>
        <v>0</v>
      </c>
      <c r="G12" s="1015"/>
      <c r="H12" s="1015"/>
      <c r="I12" s="1015"/>
      <c r="J12" s="1015"/>
      <c r="K12" s="1015"/>
      <c r="L12" s="1015"/>
      <c r="M12" s="1015"/>
      <c r="N12" s="1015"/>
      <c r="O12" s="1015"/>
      <c r="P12" s="192"/>
      <c r="Q12" s="170"/>
      <c r="R12" s="942" t="s">
        <v>484</v>
      </c>
      <c r="S12" s="942"/>
      <c r="T12" s="942"/>
      <c r="U12" s="942"/>
      <c r="V12" s="943"/>
      <c r="W12" s="1015" t="str">
        <f>IF(OR('Project Information'!X30="",'Project Information'!X30="None"),"None",'Project Information'!X30)</f>
        <v>None</v>
      </c>
      <c r="X12" s="1015"/>
      <c r="Y12" s="1015"/>
      <c r="Z12" s="1015"/>
      <c r="AA12" s="1015"/>
      <c r="AB12" s="1015"/>
      <c r="AC12" s="1015"/>
      <c r="AD12" s="1015"/>
      <c r="AE12" s="1015"/>
      <c r="AF12" s="1015"/>
      <c r="AG12" s="170"/>
      <c r="AH12" s="975" t="s">
        <v>38</v>
      </c>
      <c r="AI12" s="975"/>
      <c r="AJ12" s="975"/>
      <c r="AK12" s="975"/>
      <c r="AL12" s="975"/>
      <c r="AM12" s="975"/>
      <c r="AN12" s="975"/>
      <c r="AO12" s="975"/>
      <c r="AP12" s="975"/>
      <c r="AQ12" s="975"/>
      <c r="AR12" s="975"/>
      <c r="AS12" s="975"/>
      <c r="AT12" s="975"/>
      <c r="AU12" s="975"/>
      <c r="AV12" s="975"/>
      <c r="AW12" s="983">
        <f>'Work Scope'!T25</f>
        <v>0</v>
      </c>
      <c r="AX12" s="984"/>
      <c r="AY12" s="984"/>
      <c r="AZ12" s="987">
        <f>'Work Scope'!B25</f>
        <v>0</v>
      </c>
      <c r="BA12" s="988"/>
      <c r="BB12" s="1006">
        <f>'Work Scope'!X25</f>
        <v>0</v>
      </c>
      <c r="BC12" s="1007"/>
      <c r="BD12" s="1007"/>
      <c r="BE12" s="1007"/>
      <c r="BF12" s="1006">
        <f>'Work Scope'!N25</f>
        <v>0</v>
      </c>
      <c r="BG12" s="1007"/>
      <c r="BH12" s="1007"/>
      <c r="BI12" s="1007"/>
      <c r="BJ12" s="973" t="str">
        <f t="shared" si="0"/>
        <v/>
      </c>
      <c r="BK12" s="974"/>
      <c r="BL12" s="974"/>
      <c r="BM12" s="1008"/>
      <c r="BN12" s="973">
        <f>'HE-PY26 Pricing'!C14</f>
        <v>6.3000000000000007</v>
      </c>
      <c r="BO12" s="974"/>
      <c r="BP12" s="974"/>
      <c r="BQ12" s="1008"/>
      <c r="BR12" s="934" t="s">
        <v>209</v>
      </c>
      <c r="BS12" s="934"/>
      <c r="BT12" s="934"/>
      <c r="BU12" s="934"/>
      <c r="BV12" s="983">
        <f>'Work Scope'!AA26</f>
        <v>0</v>
      </c>
      <c r="BW12" s="951"/>
      <c r="BX12" s="1021"/>
      <c r="BY12" s="934" t="s">
        <v>210</v>
      </c>
      <c r="BZ12" s="934"/>
      <c r="CA12" s="934"/>
      <c r="CB12" s="934"/>
      <c r="CC12" s="984">
        <f>'Work Scope'!AF26</f>
        <v>0</v>
      </c>
      <c r="CD12" s="951"/>
      <c r="CE12" s="951"/>
      <c r="CF12" s="1018" t="s">
        <v>112</v>
      </c>
      <c r="CG12" s="931"/>
      <c r="CH12" s="931"/>
      <c r="CI12" s="931"/>
      <c r="CJ12" s="931"/>
      <c r="CK12" s="944">
        <f>'Work Scope'!AK26</f>
        <v>0</v>
      </c>
      <c r="CL12" s="944"/>
      <c r="CM12" s="944"/>
      <c r="CN12" s="944"/>
      <c r="CO12" s="944"/>
      <c r="CP12" s="944"/>
    </row>
    <row r="13" spans="1:116" s="2" customFormat="1" ht="18" customHeight="1" x14ac:dyDescent="0.25">
      <c r="A13" s="934" t="s">
        <v>96</v>
      </c>
      <c r="B13" s="934"/>
      <c r="C13" s="934"/>
      <c r="D13" s="934"/>
      <c r="E13" s="963"/>
      <c r="F13" s="944">
        <f>'Project Information'!F33</f>
        <v>0</v>
      </c>
      <c r="G13" s="944"/>
      <c r="H13" s="944"/>
      <c r="I13" s="944"/>
      <c r="J13" s="944"/>
      <c r="K13" s="944"/>
      <c r="L13" s="944"/>
      <c r="M13" s="944"/>
      <c r="N13" s="944"/>
      <c r="O13" s="944"/>
      <c r="P13" s="192"/>
      <c r="Q13" s="170"/>
      <c r="R13" s="934" t="s">
        <v>96</v>
      </c>
      <c r="S13" s="934"/>
      <c r="T13" s="934"/>
      <c r="U13" s="934"/>
      <c r="V13" s="963"/>
      <c r="W13" s="944">
        <f>'Project Information'!Z33</f>
        <v>0</v>
      </c>
      <c r="X13" s="944"/>
      <c r="Y13" s="944"/>
      <c r="Z13" s="944"/>
      <c r="AA13" s="944"/>
      <c r="AB13" s="944"/>
      <c r="AC13" s="944"/>
      <c r="AD13" s="944"/>
      <c r="AE13" s="944"/>
      <c r="AF13" s="944"/>
      <c r="AG13" s="170"/>
      <c r="AH13" s="965" t="str">
        <f>'Work Scope'!D27</f>
        <v>Crawl Space Wall Insulation
[R0 to R10 or Greater]</v>
      </c>
      <c r="AI13" s="965"/>
      <c r="AJ13" s="965"/>
      <c r="AK13" s="965"/>
      <c r="AL13" s="965"/>
      <c r="AM13" s="965"/>
      <c r="AN13" s="965"/>
      <c r="AO13" s="965"/>
      <c r="AP13" s="965"/>
      <c r="AQ13" s="965"/>
      <c r="AR13" s="965"/>
      <c r="AS13" s="965"/>
      <c r="AT13" s="965"/>
      <c r="AU13" s="965"/>
      <c r="AV13" s="965"/>
      <c r="AW13" s="985">
        <f>'Work Scope'!T27</f>
        <v>0</v>
      </c>
      <c r="AX13" s="986"/>
      <c r="AY13" s="986"/>
      <c r="AZ13" s="989">
        <f>'Work Scope'!B27</f>
        <v>0</v>
      </c>
      <c r="BA13" s="990"/>
      <c r="BB13" s="1004">
        <f>'Work Scope'!X27</f>
        <v>0</v>
      </c>
      <c r="BC13" s="1005"/>
      <c r="BD13" s="1005"/>
      <c r="BE13" s="1005"/>
      <c r="BF13" s="1004">
        <f>'Work Scope'!N27</f>
        <v>0</v>
      </c>
      <c r="BG13" s="1005"/>
      <c r="BH13" s="1005"/>
      <c r="BI13" s="1005"/>
      <c r="BJ13" s="1001" t="str">
        <f t="shared" si="0"/>
        <v/>
      </c>
      <c r="BK13" s="1002"/>
      <c r="BL13" s="1002"/>
      <c r="BM13" s="1003"/>
      <c r="BN13" s="1001">
        <f>IF(AH13=Measures!I26,'HE-PY26 Pricing'!C16,IF(AH13=Measures!I27,'HE-PY26 Pricing'!C17,0))</f>
        <v>0</v>
      </c>
      <c r="BO13" s="1002"/>
      <c r="BP13" s="1002"/>
      <c r="BQ13" s="1003"/>
      <c r="BR13" s="939" t="s">
        <v>209</v>
      </c>
      <c r="BS13" s="939"/>
      <c r="BT13" s="939"/>
      <c r="BU13" s="939"/>
      <c r="BV13" s="985">
        <f>'Work Scope'!AA28</f>
        <v>0</v>
      </c>
      <c r="BW13" s="982"/>
      <c r="BX13" s="1020"/>
      <c r="BY13" s="939" t="s">
        <v>210</v>
      </c>
      <c r="BZ13" s="939"/>
      <c r="CA13" s="939"/>
      <c r="CB13" s="939"/>
      <c r="CC13" s="986">
        <f>'Work Scope'!AF28</f>
        <v>0</v>
      </c>
      <c r="CD13" s="982"/>
      <c r="CE13" s="982"/>
      <c r="CF13" s="1022" t="s">
        <v>112</v>
      </c>
      <c r="CG13" s="945"/>
      <c r="CH13" s="945"/>
      <c r="CI13" s="945"/>
      <c r="CJ13" s="945"/>
      <c r="CK13" s="1024">
        <f>'Work Scope'!AK28</f>
        <v>0</v>
      </c>
      <c r="CL13" s="1024"/>
      <c r="CM13" s="1024"/>
      <c r="CN13" s="1024"/>
      <c r="CO13" s="1024"/>
      <c r="CP13" s="1024"/>
    </row>
    <row r="14" spans="1:116" s="2" customFormat="1" ht="18" customHeight="1" x14ac:dyDescent="0.25">
      <c r="A14" s="942" t="s">
        <v>141</v>
      </c>
      <c r="B14" s="942"/>
      <c r="C14" s="942"/>
      <c r="D14" s="942"/>
      <c r="E14" s="943"/>
      <c r="F14" s="1009">
        <f>'Project Information'!O33</f>
        <v>0</v>
      </c>
      <c r="G14" s="1009"/>
      <c r="H14" s="1009"/>
      <c r="I14" s="1009"/>
      <c r="J14" s="1009"/>
      <c r="K14" s="1009"/>
      <c r="L14" s="1009"/>
      <c r="M14" s="1009"/>
      <c r="N14" s="1009"/>
      <c r="O14" s="1009"/>
      <c r="P14" s="192"/>
      <c r="Q14" s="170"/>
      <c r="R14" s="942" t="s">
        <v>141</v>
      </c>
      <c r="S14" s="942"/>
      <c r="T14" s="942"/>
      <c r="U14" s="942"/>
      <c r="V14" s="943"/>
      <c r="W14" s="1009">
        <f>'Project Information'!AI33</f>
        <v>0</v>
      </c>
      <c r="X14" s="1009"/>
      <c r="Y14" s="1009"/>
      <c r="Z14" s="1009"/>
      <c r="AA14" s="1009"/>
      <c r="AB14" s="1009"/>
      <c r="AC14" s="1009"/>
      <c r="AD14" s="1009"/>
      <c r="AE14" s="1009"/>
      <c r="AF14" s="1009"/>
      <c r="AG14" s="170"/>
      <c r="AH14" s="975" t="s">
        <v>66</v>
      </c>
      <c r="AI14" s="975"/>
      <c r="AJ14" s="975"/>
      <c r="AK14" s="975"/>
      <c r="AL14" s="975"/>
      <c r="AM14" s="975"/>
      <c r="AN14" s="975"/>
      <c r="AO14" s="975"/>
      <c r="AP14" s="975"/>
      <c r="AQ14" s="975"/>
      <c r="AR14" s="975"/>
      <c r="AS14" s="975"/>
      <c r="AT14" s="975"/>
      <c r="AU14" s="975"/>
      <c r="AV14" s="975"/>
      <c r="AW14" s="983">
        <f>'Work Scope'!T29</f>
        <v>0</v>
      </c>
      <c r="AX14" s="984"/>
      <c r="AY14" s="984"/>
      <c r="AZ14" s="987">
        <f>'Work Scope'!B29</f>
        <v>0</v>
      </c>
      <c r="BA14" s="988"/>
      <c r="BB14" s="1006">
        <f>'Work Scope'!X29</f>
        <v>0</v>
      </c>
      <c r="BC14" s="1007"/>
      <c r="BD14" s="1007"/>
      <c r="BE14" s="1007"/>
      <c r="BF14" s="1006">
        <f>'Work Scope'!N29</f>
        <v>0</v>
      </c>
      <c r="BG14" s="1007"/>
      <c r="BH14" s="1007"/>
      <c r="BI14" s="1007"/>
      <c r="BJ14" s="973" t="str">
        <f t="shared" si="0"/>
        <v/>
      </c>
      <c r="BK14" s="974"/>
      <c r="BL14" s="974"/>
      <c r="BM14" s="1008"/>
      <c r="BN14" s="973">
        <f>'HE-PY26 Pricing'!C98</f>
        <v>505</v>
      </c>
      <c r="BO14" s="974"/>
      <c r="BP14" s="974"/>
      <c r="BQ14" s="1008"/>
      <c r="BR14" s="934" t="s">
        <v>211</v>
      </c>
      <c r="BS14" s="934"/>
      <c r="BT14" s="934"/>
      <c r="BU14" s="934"/>
      <c r="BV14" s="1026">
        <f>'Work Scope'!W30</f>
        <v>0</v>
      </c>
      <c r="BW14" s="951"/>
      <c r="BX14" s="1021"/>
      <c r="BY14" s="934" t="s">
        <v>212</v>
      </c>
      <c r="BZ14" s="934"/>
      <c r="CA14" s="934"/>
      <c r="CB14" s="934"/>
      <c r="CC14" s="1025">
        <f>'Work Scope'!AF30</f>
        <v>0</v>
      </c>
      <c r="CD14" s="951"/>
      <c r="CE14" s="951"/>
      <c r="CF14" s="1018" t="s">
        <v>112</v>
      </c>
      <c r="CG14" s="931"/>
      <c r="CH14" s="931"/>
      <c r="CI14" s="931"/>
      <c r="CJ14" s="931"/>
      <c r="CK14" s="944">
        <f>'Work Scope'!AK30</f>
        <v>0</v>
      </c>
      <c r="CL14" s="944"/>
      <c r="CM14" s="944"/>
      <c r="CN14" s="944"/>
      <c r="CO14" s="944"/>
      <c r="CP14" s="944"/>
      <c r="CQ14" s="934" t="s">
        <v>130</v>
      </c>
      <c r="CR14" s="934"/>
      <c r="CS14" s="934"/>
      <c r="CT14" s="934"/>
      <c r="CU14" s="934"/>
      <c r="CV14" s="934"/>
      <c r="CW14" s="934"/>
      <c r="CX14" s="934"/>
      <c r="CY14" s="934"/>
      <c r="CZ14" s="934"/>
      <c r="DA14" s="934"/>
      <c r="DB14" s="934"/>
      <c r="DC14" s="1037">
        <f>'Work Scope'!N30</f>
        <v>0</v>
      </c>
      <c r="DD14" s="988"/>
    </row>
    <row r="15" spans="1:116" s="2" customFormat="1" ht="18" customHeight="1" x14ac:dyDescent="0.25">
      <c r="A15" s="934" t="s">
        <v>193</v>
      </c>
      <c r="B15" s="934"/>
      <c r="C15" s="934"/>
      <c r="D15" s="934"/>
      <c r="E15" s="963"/>
      <c r="F15" s="944" t="str">
        <f>IF('Project Information'!F36="","",2026-'Project Information'!F36)</f>
        <v/>
      </c>
      <c r="G15" s="944"/>
      <c r="H15" s="944"/>
      <c r="I15" s="944"/>
      <c r="J15" s="944"/>
      <c r="K15" s="944"/>
      <c r="L15" s="944"/>
      <c r="M15" s="944"/>
      <c r="N15" s="944"/>
      <c r="O15" s="944"/>
      <c r="P15" s="192"/>
      <c r="Q15" s="170"/>
      <c r="R15" s="934" t="s">
        <v>193</v>
      </c>
      <c r="S15" s="934"/>
      <c r="T15" s="934"/>
      <c r="U15" s="934"/>
      <c r="V15" s="963"/>
      <c r="W15" s="944" t="str">
        <f>IF('Project Information'!AB36="","",2026-'Project Information'!AB36)</f>
        <v/>
      </c>
      <c r="X15" s="944"/>
      <c r="Y15" s="944"/>
      <c r="Z15" s="944"/>
      <c r="AA15" s="944"/>
      <c r="AB15" s="944"/>
      <c r="AC15" s="944"/>
      <c r="AD15" s="944"/>
      <c r="AE15" s="944"/>
      <c r="AF15" s="944"/>
      <c r="AG15" s="170"/>
      <c r="AH15" s="170" t="str">
        <f>'Work Scope'!D35</f>
        <v>ASHRAE Exhaust Fan
[Energy Star Certified]</v>
      </c>
      <c r="AI15" s="170"/>
      <c r="AJ15" s="170"/>
      <c r="AK15" s="170"/>
      <c r="AL15" s="170"/>
      <c r="AM15" s="170"/>
      <c r="AN15" s="170"/>
      <c r="AO15" s="170"/>
      <c r="AP15" s="170"/>
      <c r="AQ15" s="170"/>
      <c r="AR15" s="981">
        <f>'Work Scope'!R36</f>
        <v>0</v>
      </c>
      <c r="AS15" s="982"/>
      <c r="AT15" s="982"/>
      <c r="AU15" s="982"/>
      <c r="AV15" s="1020"/>
      <c r="AW15" s="985">
        <f>'Work Scope'!T35</f>
        <v>0</v>
      </c>
      <c r="AX15" s="986"/>
      <c r="AY15" s="986"/>
      <c r="AZ15" s="989">
        <f>'Work Scope'!B35</f>
        <v>0</v>
      </c>
      <c r="BA15" s="990"/>
      <c r="BB15" s="1004">
        <f>'Work Scope'!X35</f>
        <v>0</v>
      </c>
      <c r="BC15" s="1005"/>
      <c r="BD15" s="1005"/>
      <c r="BE15" s="1005"/>
      <c r="BF15" s="1004">
        <f>'Work Scope'!N35</f>
        <v>0</v>
      </c>
      <c r="BG15" s="1005"/>
      <c r="BH15" s="1005"/>
      <c r="BI15" s="1005"/>
      <c r="BJ15" s="1001" t="str">
        <f t="shared" si="0"/>
        <v/>
      </c>
      <c r="BK15" s="1002"/>
      <c r="BL15" s="1002"/>
      <c r="BM15" s="1003"/>
      <c r="BN15" s="1001">
        <f>IF(AH15=Measures!I30,'HE-PY26 Pricing'!C96,IF(AH15=Measures!I31,'HE-PY26 Pricing'!C97,0))</f>
        <v>0</v>
      </c>
      <c r="BO15" s="1002"/>
      <c r="BP15" s="1002"/>
      <c r="BQ15" s="1003"/>
      <c r="BR15" s="939" t="s">
        <v>471</v>
      </c>
      <c r="BS15" s="939"/>
      <c r="BT15" s="939"/>
      <c r="BU15" s="939"/>
      <c r="BV15" s="946">
        <f>'Work Scope'!AB36</f>
        <v>0</v>
      </c>
      <c r="BW15" s="946"/>
      <c r="BX15" s="946"/>
      <c r="BY15" s="946"/>
      <c r="BZ15" s="946"/>
      <c r="CA15" s="946"/>
      <c r="CB15" s="946"/>
      <c r="CC15" s="938" t="s">
        <v>141</v>
      </c>
      <c r="CD15" s="939"/>
      <c r="CE15" s="939"/>
      <c r="CF15" s="946">
        <f>'Work Scope'!AK36</f>
        <v>0</v>
      </c>
      <c r="CG15" s="946"/>
      <c r="CH15" s="946"/>
      <c r="CI15" s="946"/>
      <c r="CJ15" s="946"/>
      <c r="CK15" s="946"/>
      <c r="CL15" s="946"/>
      <c r="CM15" s="946"/>
      <c r="CN15" s="946"/>
      <c r="CO15" s="946"/>
      <c r="CP15" s="946"/>
    </row>
    <row r="16" spans="1:116" s="2" customFormat="1" ht="18" customHeight="1" x14ac:dyDescent="0.25">
      <c r="A16" s="942" t="s">
        <v>142</v>
      </c>
      <c r="B16" s="942"/>
      <c r="C16" s="942"/>
      <c r="D16" s="942"/>
      <c r="E16" s="943"/>
      <c r="F16" s="964">
        <f>'Project Information'!R30</f>
        <v>0</v>
      </c>
      <c r="G16" s="964"/>
      <c r="H16" s="964"/>
      <c r="I16" s="964"/>
      <c r="J16" s="964"/>
      <c r="K16" s="964"/>
      <c r="L16" s="964"/>
      <c r="M16" s="964"/>
      <c r="N16" s="964"/>
      <c r="O16" s="964"/>
      <c r="P16" s="195"/>
      <c r="Q16" s="170"/>
      <c r="R16" s="942" t="s">
        <v>486</v>
      </c>
      <c r="S16" s="942"/>
      <c r="T16" s="942"/>
      <c r="U16" s="942"/>
      <c r="V16" s="943"/>
      <c r="W16" s="964">
        <f>'Project Information'!AL30</f>
        <v>0</v>
      </c>
      <c r="X16" s="964"/>
      <c r="Y16" s="964"/>
      <c r="Z16" s="964"/>
      <c r="AA16" s="964"/>
      <c r="AB16" s="964"/>
      <c r="AC16" s="964"/>
      <c r="AD16" s="964"/>
      <c r="AE16" s="964"/>
      <c r="AF16" s="964"/>
      <c r="AG16" s="170"/>
      <c r="AH16" s="191" t="s">
        <v>40</v>
      </c>
      <c r="AI16" s="191"/>
      <c r="AJ16" s="191"/>
      <c r="AK16" s="191"/>
      <c r="AL16" s="191"/>
      <c r="AM16" s="191"/>
      <c r="AN16" s="191"/>
      <c r="AO16" s="191"/>
      <c r="AP16" s="191"/>
      <c r="AQ16" s="191"/>
      <c r="AR16" s="991">
        <f>'Work Scope'!R38</f>
        <v>0</v>
      </c>
      <c r="AS16" s="951"/>
      <c r="AT16" s="951"/>
      <c r="AU16" s="951"/>
      <c r="AV16" s="1021"/>
      <c r="AW16" s="983">
        <f>'Work Scope'!T37</f>
        <v>0</v>
      </c>
      <c r="AX16" s="984"/>
      <c r="AY16" s="984"/>
      <c r="AZ16" s="987">
        <f>'Work Scope'!B37</f>
        <v>0</v>
      </c>
      <c r="BA16" s="988"/>
      <c r="BB16" s="1006">
        <f>'Work Scope'!X37</f>
        <v>0</v>
      </c>
      <c r="BC16" s="1007"/>
      <c r="BD16" s="1007"/>
      <c r="BE16" s="1007"/>
      <c r="BF16" s="1006">
        <f>'Work Scope'!N37</f>
        <v>0</v>
      </c>
      <c r="BG16" s="1007"/>
      <c r="BH16" s="1007"/>
      <c r="BI16" s="1007"/>
      <c r="BJ16" s="973" t="str">
        <f t="shared" si="0"/>
        <v/>
      </c>
      <c r="BK16" s="974"/>
      <c r="BL16" s="974"/>
      <c r="BM16" s="1008"/>
      <c r="BN16" s="973">
        <f>'HE-PY26 Pricing'!C95</f>
        <v>380</v>
      </c>
      <c r="BO16" s="974"/>
      <c r="BP16" s="974"/>
      <c r="BQ16" s="1008"/>
      <c r="BR16" s="934" t="s">
        <v>471</v>
      </c>
      <c r="BS16" s="934"/>
      <c r="BT16" s="934"/>
      <c r="BU16" s="934"/>
      <c r="BV16" s="952">
        <f>'Work Scope'!AB38</f>
        <v>0</v>
      </c>
      <c r="BW16" s="952"/>
      <c r="BX16" s="952"/>
      <c r="BY16" s="952"/>
      <c r="BZ16" s="952"/>
      <c r="CA16" s="952"/>
      <c r="CB16" s="952"/>
      <c r="CC16" s="933" t="s">
        <v>141</v>
      </c>
      <c r="CD16" s="934"/>
      <c r="CE16" s="934"/>
      <c r="CF16" s="952">
        <f>'Work Scope'!AK38</f>
        <v>0</v>
      </c>
      <c r="CG16" s="952"/>
      <c r="CH16" s="952"/>
      <c r="CI16" s="952"/>
      <c r="CJ16" s="952"/>
      <c r="CK16" s="952"/>
      <c r="CL16" s="952"/>
      <c r="CM16" s="952"/>
      <c r="CN16" s="952"/>
      <c r="CO16" s="952"/>
      <c r="CP16" s="952"/>
    </row>
    <row r="17" spans="1:136" s="2" customFormat="1" ht="18" customHeight="1" x14ac:dyDescent="0.25">
      <c r="A17" s="934" t="s">
        <v>485</v>
      </c>
      <c r="B17" s="934"/>
      <c r="C17" s="934"/>
      <c r="D17" s="934"/>
      <c r="E17" s="963"/>
      <c r="F17" s="944">
        <f>'Project Information'!M36</f>
        <v>0</v>
      </c>
      <c r="G17" s="944"/>
      <c r="H17" s="944"/>
      <c r="I17" s="944"/>
      <c r="J17" s="944"/>
      <c r="K17" s="944"/>
      <c r="L17" s="944"/>
      <c r="M17" s="944"/>
      <c r="N17" s="944"/>
      <c r="O17" s="944"/>
      <c r="P17" s="192"/>
      <c r="Q17" s="170"/>
      <c r="R17" s="934" t="s">
        <v>487</v>
      </c>
      <c r="S17" s="934"/>
      <c r="T17" s="934"/>
      <c r="U17" s="934"/>
      <c r="V17" s="963"/>
      <c r="W17" s="944">
        <f>'Project Information'!AN36</f>
        <v>0</v>
      </c>
      <c r="X17" s="944"/>
      <c r="Y17" s="944"/>
      <c r="Z17" s="944"/>
      <c r="AA17" s="944"/>
      <c r="AB17" s="944"/>
      <c r="AC17" s="944"/>
      <c r="AD17" s="944"/>
      <c r="AE17" s="944"/>
      <c r="AF17" s="944"/>
      <c r="AG17" s="170"/>
      <c r="AH17" s="149" t="str">
        <f>IF(AND(OR('Project Information'!N42=Lists!D3,'Project Information'!N42=Lists!D4),'Work Scope'!D39=Measures!I42),"Heat Pump Water Heater Electrification ER",'Work Scope'!D39)</f>
        <v>Water Heater 
[Energy Star Certified]</v>
      </c>
      <c r="AI17" s="170"/>
      <c r="AJ17" s="170"/>
      <c r="AK17" s="170"/>
      <c r="AL17" s="170"/>
      <c r="AM17" s="170"/>
      <c r="AN17" s="170"/>
      <c r="AO17" s="170"/>
      <c r="AP17" s="170"/>
      <c r="AQ17" s="170"/>
      <c r="AR17" s="981">
        <f>'Work Scope'!H40</f>
        <v>0</v>
      </c>
      <c r="AS17" s="982"/>
      <c r="AT17" s="982"/>
      <c r="AU17" s="982"/>
      <c r="AV17" s="1020"/>
      <c r="AW17" s="985">
        <f>'Work Scope'!T39</f>
        <v>0</v>
      </c>
      <c r="AX17" s="986"/>
      <c r="AY17" s="986"/>
      <c r="AZ17" s="989">
        <f>'Work Scope'!B39</f>
        <v>0</v>
      </c>
      <c r="BA17" s="990"/>
      <c r="BB17" s="1004">
        <f>'Work Scope'!X39</f>
        <v>0</v>
      </c>
      <c r="BC17" s="1005"/>
      <c r="BD17" s="1005"/>
      <c r="BE17" s="1005"/>
      <c r="BF17" s="1004">
        <f>'Work Scope'!N39</f>
        <v>0</v>
      </c>
      <c r="BG17" s="1005"/>
      <c r="BH17" s="1005"/>
      <c r="BI17" s="1005"/>
      <c r="BJ17" s="1001" t="str">
        <f t="shared" si="0"/>
        <v/>
      </c>
      <c r="BK17" s="1002"/>
      <c r="BL17" s="1002"/>
      <c r="BM17" s="1003"/>
      <c r="BN17" s="1001">
        <f>IF(AH17=Measures!I42,"check size",IF(AH17=Measures!I43,3000,0))</f>
        <v>0</v>
      </c>
      <c r="BO17" s="1002"/>
      <c r="BP17" s="1002"/>
      <c r="BQ17" s="1003"/>
      <c r="BR17" s="939" t="s">
        <v>471</v>
      </c>
      <c r="BS17" s="939"/>
      <c r="BT17" s="939"/>
      <c r="BU17" s="939"/>
      <c r="BV17" s="946">
        <f>'Work Scope'!T40</f>
        <v>0</v>
      </c>
      <c r="BW17" s="946"/>
      <c r="BX17" s="946"/>
      <c r="BY17" s="946"/>
      <c r="BZ17" s="946"/>
      <c r="CA17" s="946"/>
      <c r="CB17" s="946"/>
      <c r="CC17" s="938" t="s">
        <v>141</v>
      </c>
      <c r="CD17" s="939"/>
      <c r="CE17" s="939"/>
      <c r="CF17" s="946">
        <f>'Work Scope'!AD40</f>
        <v>0</v>
      </c>
      <c r="CG17" s="946"/>
      <c r="CH17" s="946"/>
      <c r="CI17" s="946"/>
      <c r="CJ17" s="946"/>
      <c r="CK17" s="946"/>
      <c r="CL17" s="946"/>
      <c r="CM17" s="946"/>
      <c r="CN17" s="938" t="s">
        <v>142</v>
      </c>
      <c r="CO17" s="939"/>
      <c r="CP17" s="939"/>
      <c r="CQ17" s="1035">
        <f>'Work Scope'!AN40</f>
        <v>0</v>
      </c>
      <c r="CR17" s="1035"/>
    </row>
    <row r="18" spans="1:136" s="2" customFormat="1" ht="18" customHeight="1" x14ac:dyDescent="0.25">
      <c r="A18" s="965" t="s">
        <v>488</v>
      </c>
      <c r="B18" s="965"/>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65"/>
      <c r="AA18" s="965"/>
      <c r="AB18" s="965"/>
      <c r="AC18" s="965"/>
      <c r="AD18" s="965"/>
      <c r="AE18" s="965"/>
      <c r="AF18" s="965"/>
      <c r="AG18" s="170"/>
      <c r="AH18" s="191" t="s">
        <v>213</v>
      </c>
      <c r="AI18" s="191"/>
      <c r="AJ18" s="191"/>
      <c r="AK18" s="191"/>
      <c r="AL18" s="191"/>
      <c r="AM18" s="191"/>
      <c r="AN18" s="191"/>
      <c r="AO18" s="191"/>
      <c r="AP18" s="191"/>
      <c r="AQ18" s="191"/>
      <c r="AR18" s="991">
        <f>'Work Scope'!H42</f>
        <v>0</v>
      </c>
      <c r="AS18" s="951"/>
      <c r="AT18" s="951"/>
      <c r="AU18" s="951"/>
      <c r="AV18" s="1021"/>
      <c r="AW18" s="983">
        <f>'Work Scope'!T41</f>
        <v>0</v>
      </c>
      <c r="AX18" s="984"/>
      <c r="AY18" s="984"/>
      <c r="AZ18" s="987">
        <f>'Work Scope'!B41</f>
        <v>0</v>
      </c>
      <c r="BA18" s="988"/>
      <c r="BB18" s="1006">
        <f>'Work Scope'!X41</f>
        <v>0</v>
      </c>
      <c r="BC18" s="1007"/>
      <c r="BD18" s="1007"/>
      <c r="BE18" s="1007"/>
      <c r="BF18" s="1006">
        <f>'Work Scope'!N41</f>
        <v>0</v>
      </c>
      <c r="BG18" s="1007"/>
      <c r="BH18" s="1007"/>
      <c r="BI18" s="1007"/>
      <c r="BJ18" s="973" t="str">
        <f t="shared" si="0"/>
        <v/>
      </c>
      <c r="BK18" s="974"/>
      <c r="BL18" s="974"/>
      <c r="BM18" s="1008"/>
      <c r="BN18" s="1018" t="s">
        <v>68</v>
      </c>
      <c r="BO18" s="931"/>
      <c r="BP18" s="931"/>
      <c r="BQ18" s="1019"/>
      <c r="BR18" s="934" t="s">
        <v>471</v>
      </c>
      <c r="BS18" s="934"/>
      <c r="BT18" s="934"/>
      <c r="BU18" s="934"/>
      <c r="BV18" s="952">
        <f>'Work Scope'!P42</f>
        <v>0</v>
      </c>
      <c r="BW18" s="952"/>
      <c r="BX18" s="952"/>
      <c r="BY18" s="952"/>
      <c r="BZ18" s="952"/>
      <c r="CA18" s="952"/>
      <c r="CB18" s="952"/>
      <c r="CC18" s="933" t="s">
        <v>141</v>
      </c>
      <c r="CD18" s="934"/>
      <c r="CE18" s="934"/>
      <c r="CF18" s="952">
        <f>'Work Scope'!W42</f>
        <v>0</v>
      </c>
      <c r="CG18" s="952"/>
      <c r="CH18" s="952"/>
      <c r="CI18" s="952"/>
      <c r="CJ18" s="952"/>
      <c r="CK18" s="952"/>
      <c r="CL18" s="952"/>
      <c r="CM18" s="952"/>
      <c r="CN18" s="933" t="s">
        <v>142</v>
      </c>
      <c r="CO18" s="934"/>
      <c r="CP18" s="934"/>
      <c r="CQ18" s="1036">
        <f>'Work Scope'!AH42</f>
        <v>0</v>
      </c>
      <c r="CR18" s="1036"/>
      <c r="CS18" s="1036"/>
      <c r="CT18" s="196" t="s">
        <v>194</v>
      </c>
      <c r="CU18" s="191"/>
      <c r="CV18" s="1038">
        <f>'Work Scope'!AN42</f>
        <v>0</v>
      </c>
      <c r="CW18" s="1038"/>
      <c r="CX18" s="1038"/>
      <c r="CY18" s="191"/>
      <c r="CZ18" s="191"/>
      <c r="DA18" s="191"/>
      <c r="DB18" s="191"/>
      <c r="DC18" s="191"/>
      <c r="DD18" s="191"/>
      <c r="DE18" s="191"/>
    </row>
    <row r="19" spans="1:136" s="2" customFormat="1" ht="18" customHeight="1" x14ac:dyDescent="0.25">
      <c r="A19" s="972" t="s">
        <v>1423</v>
      </c>
      <c r="B19" s="972"/>
      <c r="C19" s="972"/>
      <c r="D19" s="972"/>
      <c r="E19" s="972"/>
      <c r="F19" s="972"/>
      <c r="G19" s="972"/>
      <c r="H19" s="972"/>
      <c r="I19" s="972"/>
      <c r="J19" s="972"/>
      <c r="K19" s="972"/>
      <c r="L19" s="972"/>
      <c r="M19" s="972"/>
      <c r="N19" s="972"/>
      <c r="O19" s="972"/>
      <c r="P19" s="972"/>
      <c r="Q19" s="972"/>
      <c r="R19" s="972"/>
      <c r="S19" s="972"/>
      <c r="T19" s="972"/>
      <c r="U19" s="972"/>
      <c r="V19" s="972"/>
      <c r="W19" s="972"/>
      <c r="X19" s="972"/>
      <c r="Y19" s="972"/>
      <c r="Z19" s="972"/>
      <c r="AA19" s="972"/>
      <c r="AB19" s="972"/>
      <c r="AC19" s="972"/>
      <c r="AD19" s="972"/>
      <c r="AE19" s="945"/>
      <c r="AF19" s="945"/>
      <c r="AG19" s="945"/>
      <c r="AH19" s="965" t="str">
        <f>'Work Scope'!D43</f>
        <v>Natural Gas Furnace [95% AFUE]</v>
      </c>
      <c r="AI19" s="965"/>
      <c r="AJ19" s="965"/>
      <c r="AK19" s="965"/>
      <c r="AL19" s="965"/>
      <c r="AM19" s="965"/>
      <c r="AN19" s="965"/>
      <c r="AO19" s="965"/>
      <c r="AP19" s="965"/>
      <c r="AQ19" s="965"/>
      <c r="AR19" s="965"/>
      <c r="AS19" s="965"/>
      <c r="AT19" s="965"/>
      <c r="AU19" s="965"/>
      <c r="AV19" s="965"/>
      <c r="AW19" s="985">
        <f>'Work Scope'!T43</f>
        <v>0</v>
      </c>
      <c r="AX19" s="982"/>
      <c r="AY19" s="982"/>
      <c r="AZ19" s="989">
        <f>'Work Scope'!B43</f>
        <v>0</v>
      </c>
      <c r="BA19" s="990"/>
      <c r="BB19" s="1004">
        <f>IF(AND('Work Scope'!D43=Measures!I3,'Work Scope'!AO44="X"),'Work Scope'!X43-250,'Work Scope'!X43)</f>
        <v>0</v>
      </c>
      <c r="BC19" s="1005"/>
      <c r="BD19" s="1005"/>
      <c r="BE19" s="1005"/>
      <c r="BF19" s="1004" t="str">
        <f>IF(AND('Project Information'!F15=Lists!T2,'Work Scope'!D43=Measures!I3,'Work Scope'!AO44="X"),'Work Scope'!AD43-250,
IF(AND('Project Information'!F15=Lists!T3,'Work Scope'!D43=Measures!I3,'Work Scope'!AO44="X"),'Work Scope'!AD43-225,'Work Scope'!AD43))</f>
        <v/>
      </c>
      <c r="BG19" s="1005"/>
      <c r="BH19" s="1005"/>
      <c r="BI19" s="1005"/>
      <c r="BJ19" s="1022"/>
      <c r="BK19" s="945"/>
      <c r="BL19" s="945"/>
      <c r="BM19" s="1023"/>
      <c r="BN19" s="1022" t="s">
        <v>68</v>
      </c>
      <c r="BO19" s="945"/>
      <c r="BP19" s="945"/>
      <c r="BQ19" s="1023"/>
      <c r="BR19" s="939" t="s">
        <v>471</v>
      </c>
      <c r="BS19" s="939"/>
      <c r="BT19" s="939"/>
      <c r="BU19" s="939"/>
      <c r="BV19" s="1024">
        <f>'Work Scope'!H44</f>
        <v>0</v>
      </c>
      <c r="BW19" s="1024"/>
      <c r="BX19" s="1024"/>
      <c r="BY19" s="1024"/>
      <c r="BZ19" s="1024"/>
      <c r="CA19" s="1024"/>
      <c r="CB19" s="1024"/>
      <c r="CC19" s="1022" t="s">
        <v>141</v>
      </c>
      <c r="CD19" s="945"/>
      <c r="CE19" s="945"/>
      <c r="CF19" s="1024">
        <f>'Work Scope'!P44</f>
        <v>0</v>
      </c>
      <c r="CG19" s="1024"/>
      <c r="CH19" s="1024"/>
      <c r="CI19" s="1024"/>
      <c r="CJ19" s="1024"/>
      <c r="CK19" s="1024"/>
      <c r="CL19" s="1024"/>
      <c r="CM19" s="1024"/>
      <c r="CN19" s="938" t="s">
        <v>150</v>
      </c>
      <c r="CO19" s="939"/>
      <c r="CP19" s="939"/>
      <c r="CQ19" s="1039">
        <f>'Work Scope'!X44</f>
        <v>0</v>
      </c>
      <c r="CR19" s="1039"/>
      <c r="CS19" s="1039"/>
      <c r="CT19" s="1039"/>
      <c r="CU19" s="938" t="s">
        <v>142</v>
      </c>
      <c r="CV19" s="939"/>
      <c r="CW19" s="939"/>
      <c r="CX19" s="940">
        <f>'Work Scope'!AI44</f>
        <v>0</v>
      </c>
      <c r="CY19" s="940"/>
      <c r="CZ19" s="940"/>
      <c r="DA19" s="938" t="s">
        <v>1749</v>
      </c>
      <c r="DB19" s="939"/>
      <c r="DC19" s="941">
        <f>'Work Scope'!AD44</f>
        <v>0</v>
      </c>
      <c r="DD19" s="941"/>
      <c r="DE19" s="941"/>
    </row>
    <row r="20" spans="1:136" s="2" customFormat="1" ht="18" customHeight="1" x14ac:dyDescent="0.25">
      <c r="A20" s="170"/>
      <c r="B20" s="170"/>
      <c r="C20" s="170"/>
      <c r="D20" s="170"/>
      <c r="E20" s="170"/>
      <c r="F20" s="170"/>
      <c r="G20" s="170"/>
      <c r="H20" s="170"/>
      <c r="I20" s="170"/>
      <c r="J20" s="170"/>
      <c r="K20" s="170"/>
      <c r="L20" s="170"/>
      <c r="M20" s="170"/>
      <c r="N20" s="170"/>
      <c r="O20" s="170"/>
      <c r="P20" s="170"/>
      <c r="Q20" s="170"/>
      <c r="R20" s="170"/>
      <c r="S20" s="170"/>
      <c r="T20" s="483"/>
      <c r="U20" s="170"/>
      <c r="V20" s="170"/>
      <c r="W20" s="170"/>
      <c r="X20" s="170"/>
      <c r="Y20" s="170"/>
      <c r="Z20" s="170"/>
      <c r="AA20" s="170"/>
      <c r="AB20" s="170"/>
      <c r="AC20" s="170"/>
      <c r="AD20" s="170"/>
      <c r="AE20" s="170"/>
      <c r="AF20" s="170"/>
      <c r="AG20" s="170"/>
      <c r="AH20" s="975" t="s">
        <v>1750</v>
      </c>
      <c r="AI20" s="975"/>
      <c r="AJ20" s="975"/>
      <c r="AK20" s="975"/>
      <c r="AL20" s="975"/>
      <c r="AM20" s="975"/>
      <c r="AN20" s="975"/>
      <c r="AO20" s="975"/>
      <c r="AP20" s="975"/>
      <c r="AQ20" s="975"/>
      <c r="AR20" s="975"/>
      <c r="AS20" s="975"/>
      <c r="AT20" s="975"/>
      <c r="AU20" s="975"/>
      <c r="AV20" s="975"/>
      <c r="AW20" s="991" t="str">
        <f>IF(AND('Project Information'!$J$9="X",'Work Scope'!D43=Measures!$I$3),'Work Scope'!T43,"")</f>
        <v/>
      </c>
      <c r="AX20" s="951"/>
      <c r="AY20" s="951"/>
      <c r="AZ20" s="987" t="str">
        <f>IF(AND('Project Information'!$J$9="X",'Work Scope'!D43=Measures!$I$3),'Work Scope'!B43,"")</f>
        <v/>
      </c>
      <c r="BA20" s="988"/>
      <c r="BB20" s="1006">
        <f>IF(AND('Project Information'!$J$9="X",'Work Scope'!D43=Measures!$I$3,'Work Scope'!AO44="X"),250,0)</f>
        <v>0</v>
      </c>
      <c r="BC20" s="1007"/>
      <c r="BD20" s="1007"/>
      <c r="BE20" s="1007"/>
      <c r="BF20" s="1006">
        <f>IF(AND('Project Information'!$J$9="X",'Project Information'!F15=Lists!T2,'Work Scope'!D43=Measures!$I$3,'Work Scope'!AO44="X"),250,
IF(AND('Project Information'!$J$9="X",'Project Information'!F15=Lists!T3,'Work Scope'!D43=Measures!$I$3,'Work Scope'!AO44="X"),225,0))</f>
        <v>0</v>
      </c>
      <c r="BG20" s="1007"/>
      <c r="BH20" s="1007"/>
      <c r="BI20" s="1007"/>
      <c r="BJ20" s="1018"/>
      <c r="BK20" s="931"/>
      <c r="BL20" s="931"/>
      <c r="BM20" s="1019"/>
      <c r="BN20" s="973" t="str">
        <f>IF(AND('Project Information'!$J$9="X",'Work Scope'!D43=Measures!$I$3),250,"")</f>
        <v/>
      </c>
      <c r="BO20" s="974"/>
      <c r="BP20" s="974"/>
      <c r="BQ20" s="1008"/>
      <c r="BR20" s="934" t="s">
        <v>471</v>
      </c>
      <c r="BS20" s="934"/>
      <c r="BT20" s="934"/>
      <c r="BU20" s="934"/>
      <c r="BV20" s="944" t="str">
        <f>IF(AND('Project Information'!$J$9="X",'Work Scope'!D43=Measures!$I$3),'Work Scope'!H44,"")</f>
        <v/>
      </c>
      <c r="BW20" s="944"/>
      <c r="BX20" s="944"/>
      <c r="BY20" s="944"/>
      <c r="BZ20" s="944"/>
      <c r="CA20" s="944"/>
      <c r="CB20" s="944"/>
      <c r="CC20" s="933" t="s">
        <v>141</v>
      </c>
      <c r="CD20" s="934"/>
      <c r="CE20" s="934"/>
      <c r="CF20" s="944" t="str">
        <f>IF(AND('Project Information'!$J$9="X",'Work Scope'!D43=Measures!$I$3),'Work Scope'!P44,"")</f>
        <v/>
      </c>
      <c r="CG20" s="944"/>
      <c r="CH20" s="944"/>
      <c r="CI20" s="944"/>
      <c r="CJ20" s="944"/>
      <c r="CK20" s="944"/>
      <c r="CL20" s="944"/>
      <c r="CM20" s="944"/>
      <c r="CN20" s="933" t="s">
        <v>150</v>
      </c>
      <c r="CO20" s="934"/>
      <c r="CP20" s="934"/>
      <c r="CQ20" s="944" t="str">
        <f>IF(AND('Project Information'!$J$9="X",'Work Scope'!D43=Measures!$I$3),'Work Scope'!X44,"")</f>
        <v/>
      </c>
      <c r="CR20" s="944"/>
      <c r="CS20" s="944"/>
      <c r="CT20" s="944"/>
      <c r="CU20" s="933" t="s">
        <v>142</v>
      </c>
      <c r="CV20" s="934"/>
      <c r="CW20" s="934"/>
      <c r="CX20" s="935" t="str">
        <f>IF(AND('Project Information'!$J$9="X",'Work Scope'!D43=Measures!$I$3),'Work Scope'!AI44,"")</f>
        <v/>
      </c>
      <c r="CY20" s="935"/>
      <c r="CZ20" s="935"/>
      <c r="DA20" s="933" t="s">
        <v>1749</v>
      </c>
      <c r="DB20" s="934"/>
      <c r="DC20" s="936" t="str">
        <f>IF(AND('Project Information'!$J$9="X",'Work Scope'!D43=Measures!$I$3),'Work Scope'!AD44,"")</f>
        <v/>
      </c>
      <c r="DD20" s="936"/>
      <c r="DE20" s="936"/>
    </row>
    <row r="21" spans="1:136" s="2" customFormat="1" ht="18" customHeight="1" x14ac:dyDescent="0.25">
      <c r="A21" s="192" t="s">
        <v>195</v>
      </c>
      <c r="B21" s="170"/>
      <c r="C21" s="170"/>
      <c r="D21" s="170"/>
      <c r="E21" s="170"/>
      <c r="F21" s="170"/>
      <c r="G21" s="170"/>
      <c r="H21" s="170"/>
      <c r="I21" s="170"/>
      <c r="J21" s="170"/>
      <c r="K21" s="170"/>
      <c r="L21" s="170"/>
      <c r="M21" s="170"/>
      <c r="N21" s="170"/>
      <c r="O21" s="170"/>
      <c r="P21" s="170"/>
      <c r="Q21" s="170"/>
      <c r="R21" s="170"/>
      <c r="S21" s="170"/>
      <c r="T21" s="170"/>
      <c r="U21" s="170"/>
      <c r="V21" s="170"/>
      <c r="W21" s="170"/>
      <c r="X21" s="945"/>
      <c r="Y21" s="945"/>
      <c r="Z21" s="945"/>
      <c r="AA21" s="945"/>
      <c r="AB21" s="170"/>
      <c r="AC21" s="170"/>
      <c r="AD21" s="170"/>
      <c r="AE21" s="945"/>
      <c r="AF21" s="945"/>
      <c r="AG21" s="945"/>
      <c r="AH21" s="965" t="str">
        <f>'Work Scope'!D45</f>
        <v>Natural Gas Furnace [95% AFUE]</v>
      </c>
      <c r="AI21" s="965"/>
      <c r="AJ21" s="965"/>
      <c r="AK21" s="965"/>
      <c r="AL21" s="965"/>
      <c r="AM21" s="965"/>
      <c r="AN21" s="965"/>
      <c r="AO21" s="965"/>
      <c r="AP21" s="965"/>
      <c r="AQ21" s="965"/>
      <c r="AR21" s="965"/>
      <c r="AS21" s="965"/>
      <c r="AT21" s="965"/>
      <c r="AU21" s="965"/>
      <c r="AV21" s="965"/>
      <c r="AW21" s="985">
        <f>'Work Scope'!T45</f>
        <v>0</v>
      </c>
      <c r="AX21" s="982"/>
      <c r="AY21" s="982"/>
      <c r="AZ21" s="989">
        <f>'Work Scope'!B45</f>
        <v>0</v>
      </c>
      <c r="BA21" s="990"/>
      <c r="BB21" s="1004">
        <f>IF(AND('Work Scope'!D45=Measures!I3,'Work Scope'!AO46="X"),'Work Scope'!X45-250,'Work Scope'!X45)</f>
        <v>0</v>
      </c>
      <c r="BC21" s="1005"/>
      <c r="BD21" s="1005"/>
      <c r="BE21" s="1005"/>
      <c r="BF21" s="1004" t="str">
        <f>IF(AND('Project Information'!F15=Lists!T2,'Work Scope'!D45=Measures!I3,'Work Scope'!AO46="X"),'Work Scope'!AD45-250,
IF(AND('Project Information'!F15=Lists!T3,'Work Scope'!D45=Measures!I3,'Work Scope'!AO46="X"),'Work Scope'!AD45-225,'Work Scope'!AD45))</f>
        <v/>
      </c>
      <c r="BG21" s="1005"/>
      <c r="BH21" s="1005"/>
      <c r="BI21" s="1005"/>
      <c r="BJ21" s="1022"/>
      <c r="BK21" s="945"/>
      <c r="BL21" s="945"/>
      <c r="BM21" s="1023"/>
      <c r="BN21" s="1022" t="s">
        <v>68</v>
      </c>
      <c r="BO21" s="945"/>
      <c r="BP21" s="945"/>
      <c r="BQ21" s="1023"/>
      <c r="BR21" s="939" t="s">
        <v>471</v>
      </c>
      <c r="BS21" s="939"/>
      <c r="BT21" s="939"/>
      <c r="BU21" s="939"/>
      <c r="BV21" s="1024">
        <f>'Work Scope'!H46</f>
        <v>0</v>
      </c>
      <c r="BW21" s="1024"/>
      <c r="BX21" s="1024"/>
      <c r="BY21" s="1024"/>
      <c r="BZ21" s="1024"/>
      <c r="CA21" s="1024"/>
      <c r="CB21" s="1024"/>
      <c r="CC21" s="938" t="s">
        <v>141</v>
      </c>
      <c r="CD21" s="939"/>
      <c r="CE21" s="939"/>
      <c r="CF21" s="1024">
        <f>'Work Scope'!P46</f>
        <v>0</v>
      </c>
      <c r="CG21" s="1024"/>
      <c r="CH21" s="1024"/>
      <c r="CI21" s="1024"/>
      <c r="CJ21" s="1024"/>
      <c r="CK21" s="1024"/>
      <c r="CL21" s="1024"/>
      <c r="CM21" s="1024"/>
      <c r="CN21" s="938" t="s">
        <v>150</v>
      </c>
      <c r="CO21" s="939"/>
      <c r="CP21" s="939"/>
      <c r="CQ21" s="1039">
        <f>'Work Scope'!X46</f>
        <v>0</v>
      </c>
      <c r="CR21" s="1024"/>
      <c r="CS21" s="1024"/>
      <c r="CT21" s="1024"/>
      <c r="CU21" s="938" t="s">
        <v>142</v>
      </c>
      <c r="CV21" s="939"/>
      <c r="CW21" s="939"/>
      <c r="CX21" s="940">
        <f>'Work Scope'!AI46</f>
        <v>0</v>
      </c>
      <c r="CY21" s="1024"/>
      <c r="CZ21" s="1024"/>
      <c r="DA21" s="938" t="s">
        <v>1749</v>
      </c>
      <c r="DB21" s="939"/>
      <c r="DC21" s="941">
        <f>'Work Scope'!AD46</f>
        <v>0</v>
      </c>
      <c r="DD21" s="1024"/>
      <c r="DE21" s="1024"/>
      <c r="EE21" s="170"/>
      <c r="EF21" s="170"/>
    </row>
    <row r="22" spans="1:136" s="2" customFormat="1" ht="18" customHeight="1" x14ac:dyDescent="0.25">
      <c r="A22" s="942" t="s">
        <v>196</v>
      </c>
      <c r="B22" s="942"/>
      <c r="C22" s="942"/>
      <c r="D22" s="942"/>
      <c r="E22" s="942"/>
      <c r="F22" s="942"/>
      <c r="G22" s="942"/>
      <c r="H22" s="942"/>
      <c r="I22" s="942"/>
      <c r="J22" s="942"/>
      <c r="K22" s="942"/>
      <c r="L22" s="942"/>
      <c r="M22" s="970">
        <f>'Project Information'!AN9</f>
        <v>0</v>
      </c>
      <c r="N22" s="971"/>
      <c r="O22" s="971"/>
      <c r="P22" s="971"/>
      <c r="Q22" s="971"/>
      <c r="R22" s="971"/>
      <c r="S22" s="971"/>
      <c r="T22" s="971"/>
      <c r="U22" s="971"/>
      <c r="V22" s="971"/>
      <c r="W22" s="170"/>
      <c r="X22" s="170"/>
      <c r="Y22" s="170"/>
      <c r="Z22" s="170"/>
      <c r="AA22" s="170"/>
      <c r="AB22" s="170"/>
      <c r="AC22" s="170"/>
      <c r="AD22" s="170"/>
      <c r="AE22" s="170"/>
      <c r="AF22" s="170"/>
      <c r="AG22" s="170"/>
      <c r="AH22" s="975" t="s">
        <v>1751</v>
      </c>
      <c r="AI22" s="975"/>
      <c r="AJ22" s="975"/>
      <c r="AK22" s="975"/>
      <c r="AL22" s="975"/>
      <c r="AM22" s="975"/>
      <c r="AN22" s="975"/>
      <c r="AO22" s="975"/>
      <c r="AP22" s="975"/>
      <c r="AQ22" s="975"/>
      <c r="AR22" s="975"/>
      <c r="AS22" s="975"/>
      <c r="AT22" s="975"/>
      <c r="AU22" s="975"/>
      <c r="AV22" s="975"/>
      <c r="AW22" s="991" t="str">
        <f>IF(AND('Project Information'!$J$9="X",'Work Scope'!D45=Measures!$I$3),'Work Scope'!T45,"")</f>
        <v/>
      </c>
      <c r="AX22" s="951"/>
      <c r="AY22" s="951"/>
      <c r="AZ22" s="987" t="str">
        <f>IF(AND('Project Information'!$J$9="X",'Work Scope'!D45=Measures!$I$3),'Work Scope'!B45,"")</f>
        <v/>
      </c>
      <c r="BA22" s="988"/>
      <c r="BB22" s="1006">
        <f>IF(AND('Project Information'!$J$9="X",'Work Scope'!D45=Measures!$I$3,'Work Scope'!AO46="X"),250,0)</f>
        <v>0</v>
      </c>
      <c r="BC22" s="1007"/>
      <c r="BD22" s="1007"/>
      <c r="BE22" s="1007"/>
      <c r="BF22" s="1006">
        <f>IF(AND('Project Information'!F15=Lists!T2,'Project Information'!$J$9="X",'Work Scope'!D45=Measures!$I$3,'Work Scope'!AO46="X"),250,
IF(AND('Project Information'!F15=Lists!T3,'Project Information'!$J$9="X",'Work Scope'!D45=Measures!$I$3,'Work Scope'!AO46="X"),225,0))</f>
        <v>0</v>
      </c>
      <c r="BG22" s="1007"/>
      <c r="BH22" s="1007"/>
      <c r="BI22" s="1007"/>
      <c r="BJ22" s="1018"/>
      <c r="BK22" s="931"/>
      <c r="BL22" s="931"/>
      <c r="BM22" s="1019"/>
      <c r="BN22" s="973" t="str">
        <f>IF(AND('Project Information'!$J$9="X",'Work Scope'!D45=Measures!$I$3),250,"")</f>
        <v/>
      </c>
      <c r="BO22" s="974"/>
      <c r="BP22" s="974"/>
      <c r="BQ22" s="1008"/>
      <c r="BR22" s="934" t="s">
        <v>471</v>
      </c>
      <c r="BS22" s="934"/>
      <c r="BT22" s="934"/>
      <c r="BU22" s="934"/>
      <c r="BV22" s="944" t="str">
        <f>IF(AND('Project Information'!$J$9="X",'Work Scope'!D45=Measures!$I$3),'Work Scope'!H46,"")</f>
        <v/>
      </c>
      <c r="BW22" s="944"/>
      <c r="BX22" s="944"/>
      <c r="BY22" s="944"/>
      <c r="BZ22" s="944"/>
      <c r="CA22" s="944"/>
      <c r="CB22" s="944"/>
      <c r="CC22" s="933" t="s">
        <v>141</v>
      </c>
      <c r="CD22" s="934"/>
      <c r="CE22" s="934"/>
      <c r="CF22" s="944" t="str">
        <f>IF(AND('Project Information'!$J$9="X",'Work Scope'!D45=Measures!$I$3),'Work Scope'!P46,"")</f>
        <v/>
      </c>
      <c r="CG22" s="944"/>
      <c r="CH22" s="944"/>
      <c r="CI22" s="944"/>
      <c r="CJ22" s="944"/>
      <c r="CK22" s="944"/>
      <c r="CL22" s="944"/>
      <c r="CM22" s="944"/>
      <c r="CN22" s="933" t="s">
        <v>150</v>
      </c>
      <c r="CO22" s="934"/>
      <c r="CP22" s="934"/>
      <c r="CQ22" s="944" t="str">
        <f>IF(AND('Project Information'!$J$9="X",'Work Scope'!D45=Measures!$I$3),'Work Scope'!X46,"")</f>
        <v/>
      </c>
      <c r="CR22" s="944"/>
      <c r="CS22" s="944"/>
      <c r="CT22" s="944"/>
      <c r="CU22" s="933" t="s">
        <v>142</v>
      </c>
      <c r="CV22" s="934"/>
      <c r="CW22" s="934"/>
      <c r="CX22" s="935" t="str">
        <f>IF(AND('Project Information'!$J$9="X",'Work Scope'!D45=Measures!$I$3),'Work Scope'!AI46,"")</f>
        <v/>
      </c>
      <c r="CY22" s="935"/>
      <c r="CZ22" s="935"/>
      <c r="DA22" s="933" t="s">
        <v>1749</v>
      </c>
      <c r="DB22" s="934"/>
      <c r="DC22" s="936" t="str">
        <f>IF(AND('Project Information'!$J$9="X",'Work Scope'!D45=Measures!$I$3),'Work Scope'!AD46,"")</f>
        <v/>
      </c>
      <c r="DD22" s="936"/>
      <c r="DE22" s="936"/>
      <c r="EE22" s="170"/>
      <c r="EF22" s="170"/>
    </row>
    <row r="23" spans="1:136" s="2" customFormat="1" ht="18" customHeight="1" x14ac:dyDescent="0.25">
      <c r="A23" s="934" t="s">
        <v>197</v>
      </c>
      <c r="B23" s="934"/>
      <c r="C23" s="934"/>
      <c r="D23" s="934"/>
      <c r="E23" s="934"/>
      <c r="F23" s="934"/>
      <c r="G23" s="934"/>
      <c r="H23" s="934"/>
      <c r="I23" s="934"/>
      <c r="J23" s="934"/>
      <c r="K23" s="934"/>
      <c r="L23" s="934"/>
      <c r="M23" s="968">
        <f>'Project Information'!AI9</f>
        <v>0</v>
      </c>
      <c r="N23" s="969"/>
      <c r="O23" s="969"/>
      <c r="P23" s="969"/>
      <c r="Q23" s="969"/>
      <c r="R23" s="969"/>
      <c r="S23" s="969"/>
      <c r="T23" s="969"/>
      <c r="U23" s="969"/>
      <c r="V23" s="969"/>
      <c r="W23" s="170"/>
      <c r="X23" s="170"/>
      <c r="Y23" s="170"/>
      <c r="Z23" s="170"/>
      <c r="AA23" s="170"/>
      <c r="AB23" s="393"/>
      <c r="AC23" s="393"/>
      <c r="AD23" s="393"/>
      <c r="AE23" s="393"/>
      <c r="AF23" s="393"/>
      <c r="AG23" s="393"/>
      <c r="AH23" s="965" t="str">
        <f>'Work Scope'!$D$47</f>
        <v>HVAC System 1</v>
      </c>
      <c r="AI23" s="965"/>
      <c r="AJ23" s="965"/>
      <c r="AK23" s="965"/>
      <c r="AL23" s="965"/>
      <c r="AM23" s="965"/>
      <c r="AN23" s="965"/>
      <c r="AO23" s="965"/>
      <c r="AP23" s="965"/>
      <c r="AQ23" s="965"/>
      <c r="AR23" s="965"/>
      <c r="AS23" s="965"/>
      <c r="AT23" s="965"/>
      <c r="AU23" s="965"/>
      <c r="AV23" s="965"/>
      <c r="AW23" s="985">
        <f>'Work Scope'!$T$47</f>
        <v>0</v>
      </c>
      <c r="AX23" s="982"/>
      <c r="AY23" s="982"/>
      <c r="AZ23" s="989">
        <f>'Work Scope'!$B$47</f>
        <v>0</v>
      </c>
      <c r="BA23" s="990"/>
      <c r="BB23" s="1004">
        <f>'Work Scope'!$X$47</f>
        <v>0</v>
      </c>
      <c r="BC23" s="1005"/>
      <c r="BD23" s="1005"/>
      <c r="BE23" s="1005"/>
      <c r="BF23" s="1004" t="str">
        <f>'Work Scope'!$AD$47</f>
        <v/>
      </c>
      <c r="BG23" s="1005"/>
      <c r="BH23" s="1005"/>
      <c r="BI23" s="1005"/>
      <c r="BJ23" s="1022"/>
      <c r="BK23" s="945"/>
      <c r="BL23" s="945"/>
      <c r="BM23" s="1023"/>
      <c r="BN23" s="1022" t="s">
        <v>68</v>
      </c>
      <c r="BO23" s="945"/>
      <c r="BP23" s="945"/>
      <c r="BQ23" s="1023"/>
      <c r="BR23" s="939" t="s">
        <v>471</v>
      </c>
      <c r="BS23" s="939"/>
      <c r="BT23" s="939"/>
      <c r="BU23" s="939"/>
      <c r="BV23" s="1024" t="str">
        <f>IF(AW23,'Work Scope'!H48,"")</f>
        <v/>
      </c>
      <c r="BW23" s="1024"/>
      <c r="BX23" s="1024"/>
      <c r="BY23" s="1024"/>
      <c r="BZ23" s="1024"/>
      <c r="CA23" s="1024"/>
      <c r="CB23" s="1024"/>
      <c r="CC23" s="938" t="s">
        <v>141</v>
      </c>
      <c r="CD23" s="939"/>
      <c r="CE23" s="939"/>
      <c r="CF23" s="1024" t="str">
        <f>IF(AW23,'Work Scope'!P48,"")</f>
        <v/>
      </c>
      <c r="CG23" s="1024"/>
      <c r="CH23" s="1024"/>
      <c r="CI23" s="1024"/>
      <c r="CJ23" s="1024"/>
      <c r="CK23" s="1024"/>
      <c r="CL23" s="1024"/>
      <c r="CM23" s="1024"/>
      <c r="CN23" s="938" t="s">
        <v>150</v>
      </c>
      <c r="CO23" s="939"/>
      <c r="CP23" s="939"/>
      <c r="CQ23" s="1024" t="str">
        <f>IF(AW23,'Work Scope'!X48,"")</f>
        <v/>
      </c>
      <c r="CR23" s="1024"/>
      <c r="CS23" s="1024"/>
      <c r="CT23" s="1024"/>
      <c r="CU23" s="938" t="s">
        <v>480</v>
      </c>
      <c r="CV23" s="939"/>
      <c r="CW23" s="939"/>
      <c r="CX23" s="939"/>
      <c r="CY23" s="939"/>
      <c r="CZ23" s="939"/>
      <c r="DA23" s="940" t="str">
        <f>IF(AW23=1,'Work Scope'!J49,"")</f>
        <v/>
      </c>
      <c r="DB23" s="940"/>
      <c r="DC23" s="940"/>
      <c r="DD23" s="938" t="s">
        <v>481</v>
      </c>
      <c r="DE23" s="939"/>
      <c r="DF23" s="939"/>
      <c r="DG23" s="939"/>
      <c r="DH23" s="939"/>
      <c r="DI23" s="939"/>
      <c r="DJ23" s="940" t="str">
        <f>IF(AW23=1,'Work Scope'!AC49,"")</f>
        <v/>
      </c>
      <c r="DK23" s="940"/>
      <c r="DL23" s="940"/>
      <c r="DM23" s="938" t="s">
        <v>155</v>
      </c>
      <c r="DN23" s="939"/>
      <c r="DO23" s="941" t="str">
        <f>IF(AW23=1,'Work Scope'!AN48,"")</f>
        <v/>
      </c>
      <c r="DP23" s="941"/>
      <c r="DQ23" s="938" t="s">
        <v>153</v>
      </c>
      <c r="DR23" s="939"/>
      <c r="DS23" s="932" t="str">
        <f>IF(AW23=1,'Work Scope'!AD48,"")</f>
        <v/>
      </c>
      <c r="DT23" s="932"/>
      <c r="DU23" s="938" t="s">
        <v>154</v>
      </c>
      <c r="DV23" s="939"/>
      <c r="DW23" s="932" t="str">
        <f>IF(AW23=1,'Work Scope'!AI48,"")</f>
        <v/>
      </c>
      <c r="DX23" s="932"/>
      <c r="DY23" s="930" t="s">
        <v>1709</v>
      </c>
      <c r="DZ23" s="930"/>
      <c r="EA23" s="930"/>
      <c r="EB23" s="930"/>
      <c r="EC23" s="930"/>
      <c r="ED23" s="524" t="str">
        <f>IF(AW23=1,'Work Scope'!AD49,"")</f>
        <v/>
      </c>
      <c r="EE23" s="195"/>
      <c r="EF23" s="195"/>
    </row>
    <row r="24" spans="1:136" s="2" customFormat="1" ht="18" customHeight="1" x14ac:dyDescent="0.25">
      <c r="A24" s="942" t="s">
        <v>198</v>
      </c>
      <c r="B24" s="942"/>
      <c r="C24" s="942"/>
      <c r="D24" s="942"/>
      <c r="E24" s="942"/>
      <c r="F24" s="942"/>
      <c r="G24" s="942"/>
      <c r="H24" s="942"/>
      <c r="I24" s="942"/>
      <c r="J24" s="942"/>
      <c r="K24" s="942"/>
      <c r="L24" s="942"/>
      <c r="M24" s="966">
        <f>'Project Information'!R9</f>
        <v>0</v>
      </c>
      <c r="N24" s="967"/>
      <c r="O24" s="967"/>
      <c r="P24" s="967"/>
      <c r="Q24" s="967"/>
      <c r="R24" s="967"/>
      <c r="S24" s="967"/>
      <c r="T24" s="967"/>
      <c r="U24" s="967"/>
      <c r="V24" s="967"/>
      <c r="W24" s="170"/>
      <c r="X24" s="170"/>
      <c r="Y24" s="170"/>
      <c r="Z24" s="170"/>
      <c r="AA24" s="170"/>
      <c r="AB24" s="393"/>
      <c r="AC24" s="393"/>
      <c r="AD24" s="393"/>
      <c r="AE24" s="393"/>
      <c r="AF24" s="393"/>
      <c r="AG24" s="393"/>
      <c r="AH24" s="975" t="str">
        <f>'Work Scope'!$D$50</f>
        <v>HVAC System 2</v>
      </c>
      <c r="AI24" s="975"/>
      <c r="AJ24" s="975"/>
      <c r="AK24" s="975"/>
      <c r="AL24" s="975"/>
      <c r="AM24" s="975"/>
      <c r="AN24" s="975"/>
      <c r="AO24" s="975"/>
      <c r="AP24" s="975"/>
      <c r="AQ24" s="975"/>
      <c r="AR24" s="975"/>
      <c r="AS24" s="975"/>
      <c r="AT24" s="975"/>
      <c r="AU24" s="975"/>
      <c r="AV24" s="975"/>
      <c r="AW24" s="983">
        <f>'Work Scope'!$T$50</f>
        <v>0</v>
      </c>
      <c r="AX24" s="951"/>
      <c r="AY24" s="951"/>
      <c r="AZ24" s="987">
        <f>'Work Scope'!$B$50</f>
        <v>0</v>
      </c>
      <c r="BA24" s="988"/>
      <c r="BB24" s="1006">
        <f>'Work Scope'!$X$50</f>
        <v>0</v>
      </c>
      <c r="BC24" s="1007"/>
      <c r="BD24" s="1007"/>
      <c r="BE24" s="1007"/>
      <c r="BF24" s="1006" t="str">
        <f>'Work Scope'!$AD$50</f>
        <v/>
      </c>
      <c r="BG24" s="1007"/>
      <c r="BH24" s="1007"/>
      <c r="BI24" s="1007"/>
      <c r="BJ24" s="1018"/>
      <c r="BK24" s="931"/>
      <c r="BL24" s="931"/>
      <c r="BM24" s="1019"/>
      <c r="BN24" s="1018" t="s">
        <v>68</v>
      </c>
      <c r="BO24" s="931"/>
      <c r="BP24" s="931"/>
      <c r="BQ24" s="1019"/>
      <c r="BR24" s="934" t="s">
        <v>471</v>
      </c>
      <c r="BS24" s="934"/>
      <c r="BT24" s="934"/>
      <c r="BU24" s="934"/>
      <c r="BV24" s="944" t="str">
        <f>IF(AW24=1,'Work Scope'!H51,"")</f>
        <v/>
      </c>
      <c r="BW24" s="944"/>
      <c r="BX24" s="944"/>
      <c r="BY24" s="944"/>
      <c r="BZ24" s="944"/>
      <c r="CA24" s="944"/>
      <c r="CB24" s="944"/>
      <c r="CC24" s="933" t="s">
        <v>141</v>
      </c>
      <c r="CD24" s="934"/>
      <c r="CE24" s="934"/>
      <c r="CF24" s="944" t="str">
        <f>IF(AW24=1,'Work Scope'!P51,"")</f>
        <v/>
      </c>
      <c r="CG24" s="944"/>
      <c r="CH24" s="944"/>
      <c r="CI24" s="944"/>
      <c r="CJ24" s="944"/>
      <c r="CK24" s="944"/>
      <c r="CL24" s="944"/>
      <c r="CM24" s="944"/>
      <c r="CN24" s="933" t="s">
        <v>150</v>
      </c>
      <c r="CO24" s="934"/>
      <c r="CP24" s="934"/>
      <c r="CQ24" s="1034" t="str">
        <f>IF(AW24=1,'Work Scope'!X51,"")</f>
        <v/>
      </c>
      <c r="CR24" s="944"/>
      <c r="CS24" s="944"/>
      <c r="CT24" s="944"/>
      <c r="CU24" s="933" t="s">
        <v>480</v>
      </c>
      <c r="CV24" s="934"/>
      <c r="CW24" s="934"/>
      <c r="CX24" s="934"/>
      <c r="CY24" s="934"/>
      <c r="CZ24" s="934"/>
      <c r="DA24" s="935" t="str">
        <f>IF(AW24=1,'Work Scope'!M52,"")</f>
        <v/>
      </c>
      <c r="DB24" s="935"/>
      <c r="DC24" s="935"/>
      <c r="DD24" s="933" t="s">
        <v>481</v>
      </c>
      <c r="DE24" s="934"/>
      <c r="DF24" s="934"/>
      <c r="DG24" s="934"/>
      <c r="DH24" s="934"/>
      <c r="DI24" s="934"/>
      <c r="DJ24" s="935" t="str">
        <f>IF(AW24=1,'Work Scope'!AC52,"")</f>
        <v/>
      </c>
      <c r="DK24" s="935"/>
      <c r="DL24" s="935"/>
      <c r="DM24" s="933" t="s">
        <v>155</v>
      </c>
      <c r="DN24" s="934"/>
      <c r="DO24" s="936" t="str">
        <f>IF(AW24=1,'Work Scope'!AN51,"")</f>
        <v/>
      </c>
      <c r="DP24" s="936"/>
      <c r="DQ24" s="933" t="s">
        <v>153</v>
      </c>
      <c r="DR24" s="934"/>
      <c r="DS24" s="937" t="str">
        <f>IF(AW24=1,'Work Scope'!AD51,"")</f>
        <v/>
      </c>
      <c r="DT24" s="937"/>
      <c r="DU24" s="933" t="s">
        <v>154</v>
      </c>
      <c r="DV24" s="934"/>
      <c r="DW24" s="937" t="str">
        <f>IF(AW24=1,'Work Scope'!AI51,"")</f>
        <v/>
      </c>
      <c r="DX24" s="937"/>
      <c r="DY24" s="931" t="s">
        <v>1709</v>
      </c>
      <c r="DZ24" s="931"/>
      <c r="EA24" s="931"/>
      <c r="EB24" s="931"/>
      <c r="EC24" s="931"/>
      <c r="ED24" s="515" t="str">
        <f>IF(AW24=1,'Work Scope'!AN52,"")</f>
        <v/>
      </c>
      <c r="EE24" s="195"/>
      <c r="EF24" s="195"/>
    </row>
    <row r="25" spans="1:136" s="2" customFormat="1" ht="18" customHeight="1" x14ac:dyDescent="0.25">
      <c r="A25" s="934" t="s">
        <v>1625</v>
      </c>
      <c r="B25" s="934"/>
      <c r="C25" s="934"/>
      <c r="D25" s="934"/>
      <c r="E25" s="934"/>
      <c r="F25" s="934"/>
      <c r="G25" s="934"/>
      <c r="H25" s="934"/>
      <c r="I25" s="934"/>
      <c r="J25" s="934"/>
      <c r="K25" s="934"/>
      <c r="L25" s="934"/>
      <c r="M25" s="1041" t="str">
        <f>IF(OR('Project Information'!R9="",'Project Information'!R9="Slab"),"",
IF(OR('Project Information'!R9=Lists!G3,'Project Information'!R9=Lists!G5),"Semi-conditioned",
IF('Project Information'!M12=Lists!S39,"Semi-conditioned",
IF(OR('Project Information'!M12=Lists!S40,'Project Information'!M12=Lists!S41),"Conditioned",""))))</f>
        <v/>
      </c>
      <c r="N25" s="1036"/>
      <c r="O25" s="1036"/>
      <c r="P25" s="1036"/>
      <c r="Q25" s="1036"/>
      <c r="R25" s="1036"/>
      <c r="S25" s="1036"/>
      <c r="T25" s="1036"/>
      <c r="U25" s="1036"/>
      <c r="V25" s="1036"/>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row>
    <row r="26" spans="1:136" s="2" customFormat="1" ht="18" customHeight="1" x14ac:dyDescent="0.25">
      <c r="A26" s="942" t="s">
        <v>1626</v>
      </c>
      <c r="B26" s="942"/>
      <c r="C26" s="942"/>
      <c r="D26" s="942"/>
      <c r="E26" s="942"/>
      <c r="F26" s="942"/>
      <c r="G26" s="942"/>
      <c r="H26" s="942"/>
      <c r="I26" s="942"/>
      <c r="J26" s="942"/>
      <c r="K26" s="942"/>
      <c r="L26" s="942"/>
      <c r="M26" s="1046">
        <f>'Project Information'!AD9</f>
        <v>0</v>
      </c>
      <c r="N26" s="1047"/>
      <c r="O26" s="1047"/>
      <c r="P26" s="1047"/>
      <c r="Q26" s="1047"/>
      <c r="R26" s="1047"/>
      <c r="S26" s="1047"/>
      <c r="T26" s="1047"/>
      <c r="U26" s="1047"/>
      <c r="V26" s="1047"/>
      <c r="W26" s="195"/>
      <c r="X26" s="170"/>
      <c r="Y26" s="170"/>
      <c r="Z26" s="170"/>
      <c r="AA26" s="170"/>
      <c r="AB26" s="170"/>
      <c r="AC26" s="170"/>
      <c r="AD26" s="170"/>
      <c r="AE26" s="170"/>
      <c r="AF26" s="170"/>
      <c r="AG26" s="170"/>
      <c r="AH26" s="192" t="s">
        <v>214</v>
      </c>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row>
    <row r="27" spans="1:136" s="2" customFormat="1" ht="18" customHeight="1" x14ac:dyDescent="0.25">
      <c r="A27" s="931" t="s">
        <v>1627</v>
      </c>
      <c r="B27" s="931"/>
      <c r="C27" s="931"/>
      <c r="D27" s="931"/>
      <c r="E27" s="931"/>
      <c r="F27" s="931"/>
      <c r="G27" s="931"/>
      <c r="H27" s="931"/>
      <c r="I27" s="931"/>
      <c r="J27" s="931"/>
      <c r="K27" s="931"/>
      <c r="L27" s="931"/>
      <c r="M27" s="1044" t="str">
        <f>IF('Work Scope'!N30="","",'Work Scope'!N30)</f>
        <v/>
      </c>
      <c r="N27" s="1045"/>
      <c r="O27" s="1045"/>
      <c r="P27" s="1045"/>
      <c r="Q27" s="1045"/>
      <c r="R27" s="1045"/>
      <c r="S27" s="1045"/>
      <c r="T27" s="1045"/>
      <c r="U27" s="1045"/>
      <c r="V27" s="1045"/>
      <c r="W27" s="170"/>
      <c r="X27" s="170"/>
      <c r="Y27" s="170"/>
      <c r="Z27" s="170"/>
      <c r="AA27" s="170"/>
      <c r="AB27" s="170"/>
      <c r="AC27" s="170"/>
      <c r="AD27" s="170"/>
      <c r="AE27" s="170"/>
      <c r="AF27" s="170"/>
      <c r="AG27" s="170"/>
      <c r="AH27" s="946" t="s">
        <v>479</v>
      </c>
      <c r="AI27" s="946"/>
      <c r="AJ27" s="946"/>
      <c r="AK27" s="946"/>
      <c r="AL27" s="946"/>
      <c r="AM27" s="946"/>
      <c r="AN27" s="946"/>
      <c r="AO27" s="946"/>
      <c r="AP27" s="946"/>
      <c r="AQ27" s="946"/>
      <c r="AR27" s="946"/>
      <c r="AS27" s="946"/>
      <c r="AT27" s="946"/>
      <c r="AU27" s="946"/>
      <c r="AV27" s="946"/>
      <c r="AW27" s="990" t="s">
        <v>400</v>
      </c>
      <c r="AX27" s="990"/>
      <c r="AY27" s="990" t="s">
        <v>203</v>
      </c>
      <c r="AZ27" s="990"/>
      <c r="BA27" s="990" t="s">
        <v>204</v>
      </c>
      <c r="BB27" s="990"/>
      <c r="BC27" s="990"/>
      <c r="BD27" s="990"/>
      <c r="BE27" s="990" t="s">
        <v>50</v>
      </c>
      <c r="BF27" s="990"/>
      <c r="BG27" s="990"/>
      <c r="BH27" s="99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row>
    <row r="28" spans="1:136" s="2" customFormat="1" ht="18" customHeight="1" x14ac:dyDescent="0.25">
      <c r="A28" s="942" t="s">
        <v>199</v>
      </c>
      <c r="B28" s="942"/>
      <c r="C28" s="942"/>
      <c r="D28" s="942"/>
      <c r="E28" s="942"/>
      <c r="F28" s="942"/>
      <c r="G28" s="942"/>
      <c r="H28" s="942"/>
      <c r="I28" s="942"/>
      <c r="J28" s="942"/>
      <c r="K28" s="942"/>
      <c r="L28" s="942"/>
      <c r="M28" s="1042">
        <f>'Project Information'!N42</f>
        <v>0</v>
      </c>
      <c r="N28" s="1015"/>
      <c r="O28" s="1015"/>
      <c r="P28" s="1015"/>
      <c r="Q28" s="1015"/>
      <c r="R28" s="1015"/>
      <c r="S28" s="1015"/>
      <c r="T28" s="1015"/>
      <c r="U28" s="1015"/>
      <c r="V28" s="1015"/>
      <c r="W28" s="170"/>
      <c r="X28" s="170"/>
      <c r="Y28" s="170"/>
      <c r="Z28" s="170"/>
      <c r="AA28" s="170"/>
      <c r="AB28" s="170"/>
      <c r="AC28" s="170"/>
      <c r="AD28" s="170"/>
      <c r="AE28" s="170"/>
      <c r="AF28" s="170"/>
      <c r="AG28" s="170"/>
      <c r="AH28" s="1027" t="str">
        <f>IF('Work Scope'!AD57="","",'Work Scope'!D57)</f>
        <v/>
      </c>
      <c r="AI28" s="1027"/>
      <c r="AJ28" s="1027"/>
      <c r="AK28" s="1027"/>
      <c r="AL28" s="1027"/>
      <c r="AM28" s="1027"/>
      <c r="AN28" s="1027"/>
      <c r="AO28" s="1027"/>
      <c r="AP28" s="1027"/>
      <c r="AQ28" s="1027"/>
      <c r="AR28" s="1027"/>
      <c r="AS28" s="1027"/>
      <c r="AT28" s="1027"/>
      <c r="AU28" s="1027"/>
      <c r="AV28" s="1027"/>
      <c r="AW28" s="994" t="str">
        <f>IF('Work Scope'!AD57="","",'Work Scope'!AB57)</f>
        <v/>
      </c>
      <c r="AX28" s="995"/>
      <c r="AY28" s="931" t="str">
        <f>IF('Work Scope'!AD57="","",'Work Scope'!B57)</f>
        <v/>
      </c>
      <c r="AZ28" s="931"/>
      <c r="BA28" s="996" t="str">
        <f>IF('Work Scope'!AD57="","",'Work Scope'!AD57)</f>
        <v/>
      </c>
      <c r="BB28" s="997"/>
      <c r="BC28" s="997"/>
      <c r="BD28" s="998"/>
      <c r="BE28" s="997" t="str">
        <f>IF('Work Scope'!AD57="","",'Work Scope'!AH57/AW28)</f>
        <v/>
      </c>
      <c r="BF28" s="997"/>
      <c r="BG28" s="997"/>
      <c r="BH28" s="997"/>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row>
    <row r="29" spans="1:136" s="2" customFormat="1" ht="18" customHeight="1" x14ac:dyDescent="0.25">
      <c r="A29" s="934" t="s">
        <v>200</v>
      </c>
      <c r="B29" s="934"/>
      <c r="C29" s="934"/>
      <c r="D29" s="934"/>
      <c r="E29" s="934"/>
      <c r="F29" s="934"/>
      <c r="G29" s="934"/>
      <c r="H29" s="934"/>
      <c r="I29" s="934"/>
      <c r="J29" s="934"/>
      <c r="K29" s="934"/>
      <c r="L29" s="934"/>
      <c r="M29" s="1043">
        <f>'Project Information'!AF42</f>
        <v>0</v>
      </c>
      <c r="N29" s="952"/>
      <c r="O29" s="952"/>
      <c r="P29" s="952"/>
      <c r="Q29" s="952"/>
      <c r="R29" s="952"/>
      <c r="S29" s="952"/>
      <c r="T29" s="952"/>
      <c r="U29" s="952"/>
      <c r="V29" s="952"/>
      <c r="W29" s="170"/>
      <c r="X29" s="170"/>
      <c r="Y29" s="170"/>
      <c r="Z29" s="170"/>
      <c r="AA29" s="170"/>
      <c r="AB29" s="170"/>
      <c r="AC29" s="170"/>
      <c r="AD29" s="170"/>
      <c r="AE29" s="170"/>
      <c r="AF29" s="170"/>
      <c r="AG29" s="170"/>
      <c r="AH29" s="1028" t="str">
        <f>IF('Work Scope'!AD58="","",'Work Scope'!D58)</f>
        <v/>
      </c>
      <c r="AI29" s="1028"/>
      <c r="AJ29" s="1028"/>
      <c r="AK29" s="1028"/>
      <c r="AL29" s="1028"/>
      <c r="AM29" s="1028"/>
      <c r="AN29" s="1028"/>
      <c r="AO29" s="1028"/>
      <c r="AP29" s="1028"/>
      <c r="AQ29" s="1028"/>
      <c r="AR29" s="1028"/>
      <c r="AS29" s="1028"/>
      <c r="AT29" s="1028"/>
      <c r="AU29" s="1028"/>
      <c r="AV29" s="1028"/>
      <c r="AW29" s="1029" t="str">
        <f>IF('Work Scope'!AD58="","",'Work Scope'!AB58)</f>
        <v/>
      </c>
      <c r="AX29" s="1030"/>
      <c r="AY29" s="945" t="str">
        <f>IF('Work Scope'!AD58="","",'Work Scope'!B58)</f>
        <v/>
      </c>
      <c r="AZ29" s="945"/>
      <c r="BA29" s="999" t="str">
        <f>IF('Work Scope'!AD58="","",'Work Scope'!AD58)</f>
        <v/>
      </c>
      <c r="BB29" s="993"/>
      <c r="BC29" s="993"/>
      <c r="BD29" s="1000"/>
      <c r="BE29" s="993" t="str">
        <f>IF('Work Scope'!AD58="","",'Work Scope'!AH58/AW29)</f>
        <v/>
      </c>
      <c r="BF29" s="993"/>
      <c r="BG29" s="993"/>
      <c r="BH29" s="993"/>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row>
    <row r="30" spans="1:136" s="2" customFormat="1" ht="18" customHeight="1" x14ac:dyDescent="0.25">
      <c r="A30" s="942" t="s">
        <v>473</v>
      </c>
      <c r="B30" s="942"/>
      <c r="C30" s="942"/>
      <c r="D30" s="942"/>
      <c r="E30" s="942"/>
      <c r="F30" s="942"/>
      <c r="G30" s="942"/>
      <c r="H30" s="942"/>
      <c r="I30" s="942"/>
      <c r="J30" s="942"/>
      <c r="K30" s="942"/>
      <c r="L30" s="942"/>
      <c r="M30" s="1042">
        <f>'Project Information'!N39</f>
        <v>0</v>
      </c>
      <c r="N30" s="1015"/>
      <c r="O30" s="1015"/>
      <c r="P30" s="1015"/>
      <c r="Q30" s="1015"/>
      <c r="R30" s="1015"/>
      <c r="S30" s="1015"/>
      <c r="T30" s="1015"/>
      <c r="U30" s="1015"/>
      <c r="V30" s="1015"/>
      <c r="W30" s="170"/>
      <c r="X30" s="170"/>
      <c r="Y30" s="170"/>
      <c r="Z30" s="170"/>
      <c r="AA30" s="170"/>
      <c r="AB30" s="170"/>
      <c r="AC30" s="170"/>
      <c r="AD30" s="170"/>
      <c r="AE30" s="170"/>
      <c r="AF30" s="170"/>
      <c r="AG30" s="170"/>
      <c r="AH30" s="1027" t="str">
        <f>IF('Work Scope'!AD59="","",'Work Scope'!D59)</f>
        <v/>
      </c>
      <c r="AI30" s="1027"/>
      <c r="AJ30" s="1027"/>
      <c r="AK30" s="1027"/>
      <c r="AL30" s="1027"/>
      <c r="AM30" s="1027"/>
      <c r="AN30" s="1027"/>
      <c r="AO30" s="1027"/>
      <c r="AP30" s="1027"/>
      <c r="AQ30" s="1027"/>
      <c r="AR30" s="1027"/>
      <c r="AS30" s="1027"/>
      <c r="AT30" s="1027"/>
      <c r="AU30" s="1027"/>
      <c r="AV30" s="1027"/>
      <c r="AW30" s="994" t="str">
        <f>IF('Work Scope'!AD59="","",'Work Scope'!AB59)</f>
        <v/>
      </c>
      <c r="AX30" s="995"/>
      <c r="AY30" s="931" t="str">
        <f>IF('Work Scope'!AD59="","",'Work Scope'!B59)</f>
        <v/>
      </c>
      <c r="AZ30" s="931"/>
      <c r="BA30" s="996" t="str">
        <f>IF('Work Scope'!AD59="","",'Work Scope'!AD59)</f>
        <v/>
      </c>
      <c r="BB30" s="997"/>
      <c r="BC30" s="997"/>
      <c r="BD30" s="998"/>
      <c r="BE30" s="997" t="str">
        <f>IF('Work Scope'!AD59="","",'Work Scope'!AH59/AW30)</f>
        <v/>
      </c>
      <c r="BF30" s="997"/>
      <c r="BG30" s="997"/>
      <c r="BH30" s="997"/>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row>
    <row r="31" spans="1:136" s="2" customFormat="1" ht="18" customHeight="1" x14ac:dyDescent="0.25">
      <c r="A31" s="945"/>
      <c r="B31" s="945"/>
      <c r="C31" s="945"/>
      <c r="D31" s="945"/>
      <c r="E31" s="945"/>
      <c r="F31" s="945"/>
      <c r="G31" s="945"/>
      <c r="H31" s="945"/>
      <c r="I31" s="945"/>
      <c r="J31" s="945"/>
      <c r="K31" s="945"/>
      <c r="L31" s="945"/>
      <c r="M31" s="945"/>
      <c r="N31" s="945"/>
      <c r="O31" s="945"/>
      <c r="P31" s="945"/>
      <c r="Q31" s="945"/>
      <c r="R31" s="945"/>
      <c r="S31" s="945"/>
      <c r="T31" s="945"/>
      <c r="U31" s="945"/>
      <c r="V31" s="945"/>
      <c r="W31" s="945"/>
      <c r="X31" s="945"/>
      <c r="Y31" s="945"/>
      <c r="Z31" s="945"/>
      <c r="AA31" s="945"/>
      <c r="AB31" s="945"/>
      <c r="AC31" s="945"/>
      <c r="AD31" s="945"/>
      <c r="AE31" s="945"/>
      <c r="AF31" s="945"/>
      <c r="AG31" s="945"/>
      <c r="AH31" s="1028" t="str">
        <f>IF('Work Scope'!AD60="","",'Work Scope'!D60)</f>
        <v/>
      </c>
      <c r="AI31" s="1028"/>
      <c r="AJ31" s="1028"/>
      <c r="AK31" s="1028"/>
      <c r="AL31" s="1028"/>
      <c r="AM31" s="1028"/>
      <c r="AN31" s="1028"/>
      <c r="AO31" s="1028"/>
      <c r="AP31" s="1028"/>
      <c r="AQ31" s="1028"/>
      <c r="AR31" s="1028"/>
      <c r="AS31" s="1028"/>
      <c r="AT31" s="1028"/>
      <c r="AU31" s="1028"/>
      <c r="AV31" s="1028"/>
      <c r="AW31" s="1029" t="str">
        <f>IF('Work Scope'!AD60="","",'Work Scope'!AB60)</f>
        <v/>
      </c>
      <c r="AX31" s="1030"/>
      <c r="AY31" s="945" t="str">
        <f>IF('Work Scope'!AD60="","",'Work Scope'!B60)</f>
        <v/>
      </c>
      <c r="AZ31" s="945"/>
      <c r="BA31" s="999" t="str">
        <f>IF('Work Scope'!AD60="","",'Work Scope'!AD60)</f>
        <v/>
      </c>
      <c r="BB31" s="993"/>
      <c r="BC31" s="993"/>
      <c r="BD31" s="1000"/>
      <c r="BE31" s="993" t="str">
        <f>IF('Work Scope'!AD60="","",'Work Scope'!AH60/AW31)</f>
        <v/>
      </c>
      <c r="BF31" s="993"/>
      <c r="BG31" s="993"/>
      <c r="BH31" s="993"/>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row>
    <row r="32" spans="1:136" s="2" customFormat="1" ht="18" customHeight="1" x14ac:dyDescent="0.25">
      <c r="A32" s="946" t="s">
        <v>474</v>
      </c>
      <c r="B32" s="946"/>
      <c r="C32" s="946"/>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170"/>
      <c r="AH32" s="1027" t="str">
        <f>IF('Work Scope'!AD61="","",'Work Scope'!D61)</f>
        <v/>
      </c>
      <c r="AI32" s="1027"/>
      <c r="AJ32" s="1027"/>
      <c r="AK32" s="1027"/>
      <c r="AL32" s="1027"/>
      <c r="AM32" s="1027"/>
      <c r="AN32" s="1027"/>
      <c r="AO32" s="1027"/>
      <c r="AP32" s="1027"/>
      <c r="AQ32" s="1027"/>
      <c r="AR32" s="1027"/>
      <c r="AS32" s="1027"/>
      <c r="AT32" s="1027"/>
      <c r="AU32" s="1027"/>
      <c r="AV32" s="1027"/>
      <c r="AW32" s="994" t="str">
        <f>IF('Work Scope'!AD61="","",'Work Scope'!AB61)</f>
        <v/>
      </c>
      <c r="AX32" s="995"/>
      <c r="AY32" s="931" t="str">
        <f>IF('Work Scope'!AD61="","",'Work Scope'!B61)</f>
        <v/>
      </c>
      <c r="AZ32" s="931"/>
      <c r="BA32" s="996" t="str">
        <f>IF('Work Scope'!AD61="","",'Work Scope'!AD61)</f>
        <v/>
      </c>
      <c r="BB32" s="997"/>
      <c r="BC32" s="997"/>
      <c r="BD32" s="998"/>
      <c r="BE32" s="997" t="str">
        <f>IF('Work Scope'!AD61="","",'Work Scope'!AH61/AW32)</f>
        <v/>
      </c>
      <c r="BF32" s="997"/>
      <c r="BG32" s="997"/>
      <c r="BH32" s="997"/>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row>
    <row r="33" spans="1:136" s="2" customFormat="1" ht="18" customHeight="1" x14ac:dyDescent="0.25">
      <c r="A33" s="959" t="s">
        <v>479</v>
      </c>
      <c r="B33" s="959"/>
      <c r="C33" s="959"/>
      <c r="D33" s="959"/>
      <c r="E33" s="959"/>
      <c r="F33" s="959"/>
      <c r="G33" s="959"/>
      <c r="H33" s="959"/>
      <c r="I33" s="959"/>
      <c r="J33" s="959"/>
      <c r="K33" s="959"/>
      <c r="L33" s="959"/>
      <c r="M33" s="955" t="s">
        <v>204</v>
      </c>
      <c r="N33" s="955"/>
      <c r="O33" s="955"/>
      <c r="P33" s="955"/>
      <c r="Q33" s="930"/>
      <c r="R33" s="930"/>
      <c r="S33" s="930"/>
      <c r="T33" s="930"/>
      <c r="U33" s="930"/>
      <c r="V33" s="930"/>
      <c r="W33" s="930"/>
      <c r="X33" s="930"/>
      <c r="Y33" s="930"/>
      <c r="Z33" s="930"/>
      <c r="AA33" s="930"/>
      <c r="AB33" s="930"/>
      <c r="AC33" s="930"/>
      <c r="AD33" s="930"/>
      <c r="AE33" s="930"/>
      <c r="AF33" s="930"/>
      <c r="AG33" s="170"/>
      <c r="AH33" s="1028" t="str">
        <f>IF('Work Scope'!AD62="","",'Work Scope'!D62)</f>
        <v/>
      </c>
      <c r="AI33" s="1028"/>
      <c r="AJ33" s="1028"/>
      <c r="AK33" s="1028"/>
      <c r="AL33" s="1028"/>
      <c r="AM33" s="1028"/>
      <c r="AN33" s="1028"/>
      <c r="AO33" s="1028"/>
      <c r="AP33" s="1028"/>
      <c r="AQ33" s="1028"/>
      <c r="AR33" s="1028"/>
      <c r="AS33" s="1028"/>
      <c r="AT33" s="1028"/>
      <c r="AU33" s="1028"/>
      <c r="AV33" s="1028"/>
      <c r="AW33" s="1029" t="str">
        <f>IF('Work Scope'!AD62="","",'Work Scope'!AB62)</f>
        <v/>
      </c>
      <c r="AX33" s="1030"/>
      <c r="AY33" s="945" t="str">
        <f>IF('Work Scope'!AD62="","",'Work Scope'!B62)</f>
        <v/>
      </c>
      <c r="AZ33" s="945"/>
      <c r="BA33" s="999" t="str">
        <f>IF('Work Scope'!AD62="","",'Work Scope'!AD62)</f>
        <v/>
      </c>
      <c r="BB33" s="993"/>
      <c r="BC33" s="993"/>
      <c r="BD33" s="1000"/>
      <c r="BE33" s="993" t="str">
        <f>IF('Work Scope'!AD62="","",'Work Scope'!AH62/AW33)</f>
        <v/>
      </c>
      <c r="BF33" s="993"/>
      <c r="BG33" s="993"/>
      <c r="BH33" s="993"/>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row>
    <row r="34" spans="1:136" s="2" customFormat="1" ht="18" customHeight="1" x14ac:dyDescent="0.25">
      <c r="A34" s="975">
        <f>'Ancillary Costs'!B11</f>
        <v>0</v>
      </c>
      <c r="B34" s="975"/>
      <c r="C34" s="975"/>
      <c r="D34" s="975"/>
      <c r="E34" s="975"/>
      <c r="F34" s="975"/>
      <c r="G34" s="975"/>
      <c r="H34" s="975"/>
      <c r="I34" s="975"/>
      <c r="J34" s="975"/>
      <c r="K34" s="975"/>
      <c r="L34" s="975"/>
      <c r="M34" s="973">
        <f>'Ancillary Costs'!Q11</f>
        <v>0</v>
      </c>
      <c r="N34" s="974"/>
      <c r="O34" s="974"/>
      <c r="P34" s="974"/>
      <c r="Q34" s="930"/>
      <c r="R34" s="930"/>
      <c r="S34" s="930"/>
      <c r="T34" s="930"/>
      <c r="U34" s="930"/>
      <c r="V34" s="930"/>
      <c r="W34" s="930"/>
      <c r="X34" s="930"/>
      <c r="Y34" s="930"/>
      <c r="Z34" s="930"/>
      <c r="AA34" s="930"/>
      <c r="AB34" s="930"/>
      <c r="AC34" s="930"/>
      <c r="AD34" s="930"/>
      <c r="AE34" s="930"/>
      <c r="AF34" s="930"/>
      <c r="AG34" s="170"/>
      <c r="AH34" s="1027" t="str">
        <f>IF('Work Scope'!AD63="","",'Work Scope'!D63)</f>
        <v/>
      </c>
      <c r="AI34" s="1027"/>
      <c r="AJ34" s="1027"/>
      <c r="AK34" s="1027"/>
      <c r="AL34" s="1027"/>
      <c r="AM34" s="1027"/>
      <c r="AN34" s="1027"/>
      <c r="AO34" s="1027"/>
      <c r="AP34" s="1027"/>
      <c r="AQ34" s="1027"/>
      <c r="AR34" s="1027"/>
      <c r="AS34" s="1027"/>
      <c r="AT34" s="1027"/>
      <c r="AU34" s="1027"/>
      <c r="AV34" s="1027"/>
      <c r="AW34" s="994" t="str">
        <f>IF('Work Scope'!AD63="","",'Work Scope'!AB63)</f>
        <v/>
      </c>
      <c r="AX34" s="995"/>
      <c r="AY34" s="931" t="str">
        <f>IF('Work Scope'!AD63="","",'Work Scope'!B63)</f>
        <v/>
      </c>
      <c r="AZ34" s="931"/>
      <c r="BA34" s="996" t="str">
        <f>IF('Work Scope'!AD63="","",'Work Scope'!AD63)</f>
        <v/>
      </c>
      <c r="BB34" s="997"/>
      <c r="BC34" s="997"/>
      <c r="BD34" s="998"/>
      <c r="BE34" s="997" t="str">
        <f>IF('Work Scope'!AD63="","",'Work Scope'!AH63/AW34)</f>
        <v/>
      </c>
      <c r="BF34" s="997"/>
      <c r="BG34" s="997"/>
      <c r="BH34" s="997"/>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70"/>
      <c r="CW34" s="170"/>
      <c r="CX34" s="170"/>
      <c r="CY34" s="170"/>
      <c r="CZ34" s="170"/>
      <c r="DA34" s="170"/>
      <c r="DB34" s="170"/>
      <c r="DC34" s="170"/>
      <c r="DD34" s="170"/>
      <c r="DE34" s="170"/>
      <c r="DF34" s="170"/>
      <c r="DG34" s="170"/>
      <c r="DH34" s="170"/>
      <c r="DI34" s="170"/>
      <c r="DJ34" s="170"/>
      <c r="DK34" s="170"/>
      <c r="DL34" s="170"/>
      <c r="DM34" s="170"/>
      <c r="DN34" s="170"/>
      <c r="DO34" s="170"/>
      <c r="DP34" s="170"/>
      <c r="DQ34" s="170"/>
      <c r="DR34" s="170"/>
      <c r="DS34" s="170"/>
      <c r="DT34" s="170"/>
      <c r="DU34" s="170"/>
      <c r="DV34" s="170"/>
      <c r="DW34" s="170"/>
      <c r="DX34" s="170"/>
      <c r="DY34" s="170"/>
      <c r="DZ34" s="170"/>
      <c r="EA34" s="170"/>
      <c r="EB34" s="170"/>
      <c r="EC34" s="170"/>
      <c r="ED34" s="170"/>
      <c r="EE34" s="170"/>
      <c r="EF34" s="170"/>
    </row>
    <row r="35" spans="1:136" s="2" customFormat="1" ht="18" customHeight="1" x14ac:dyDescent="0.25">
      <c r="A35" s="958">
        <f>'Ancillary Costs'!B12</f>
        <v>0</v>
      </c>
      <c r="B35" s="958"/>
      <c r="C35" s="958"/>
      <c r="D35" s="958"/>
      <c r="E35" s="958"/>
      <c r="F35" s="958"/>
      <c r="G35" s="958"/>
      <c r="H35" s="958"/>
      <c r="I35" s="958"/>
      <c r="J35" s="958"/>
      <c r="K35" s="958"/>
      <c r="L35" s="958"/>
      <c r="M35" s="961">
        <f>'Ancillary Costs'!Q12</f>
        <v>0</v>
      </c>
      <c r="N35" s="962"/>
      <c r="O35" s="962"/>
      <c r="P35" s="962"/>
      <c r="Q35" s="930"/>
      <c r="R35" s="930"/>
      <c r="S35" s="930"/>
      <c r="T35" s="930"/>
      <c r="U35" s="930"/>
      <c r="V35" s="930"/>
      <c r="W35" s="930"/>
      <c r="X35" s="930"/>
      <c r="Y35" s="930"/>
      <c r="Z35" s="930"/>
      <c r="AA35" s="930"/>
      <c r="AB35" s="930"/>
      <c r="AC35" s="930"/>
      <c r="AD35" s="930"/>
      <c r="AE35" s="930"/>
      <c r="AF35" s="930"/>
      <c r="AG35" s="170"/>
      <c r="AH35" s="1028" t="str">
        <f>IF('Work Scope'!AD64="","",'Work Scope'!D64)</f>
        <v/>
      </c>
      <c r="AI35" s="1028"/>
      <c r="AJ35" s="1028"/>
      <c r="AK35" s="1028"/>
      <c r="AL35" s="1028"/>
      <c r="AM35" s="1028"/>
      <c r="AN35" s="1028"/>
      <c r="AO35" s="1028"/>
      <c r="AP35" s="1028"/>
      <c r="AQ35" s="1028"/>
      <c r="AR35" s="1028"/>
      <c r="AS35" s="1028"/>
      <c r="AT35" s="1028"/>
      <c r="AU35" s="1028"/>
      <c r="AV35" s="1028"/>
      <c r="AW35" s="1029" t="str">
        <f>IF('Work Scope'!AD64="","",'Work Scope'!AB64)</f>
        <v/>
      </c>
      <c r="AX35" s="1030"/>
      <c r="AY35" s="945" t="str">
        <f>IF('Work Scope'!AD64="","",'Work Scope'!B64)</f>
        <v/>
      </c>
      <c r="AZ35" s="945"/>
      <c r="BA35" s="999" t="str">
        <f>IF('Work Scope'!AD64="","",'Work Scope'!AD64)</f>
        <v/>
      </c>
      <c r="BB35" s="993"/>
      <c r="BC35" s="993"/>
      <c r="BD35" s="1000"/>
      <c r="BE35" s="993" t="str">
        <f>IF('Work Scope'!AD64="","",'Work Scope'!AH64/AW35)</f>
        <v/>
      </c>
      <c r="BF35" s="993"/>
      <c r="BG35" s="993"/>
      <c r="BH35" s="993"/>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row>
    <row r="36" spans="1:136" s="2" customFormat="1" ht="18" customHeight="1" thickBot="1" x14ac:dyDescent="0.3">
      <c r="A36" s="975">
        <f>'Ancillary Costs'!B13</f>
        <v>0</v>
      </c>
      <c r="B36" s="975"/>
      <c r="C36" s="975"/>
      <c r="D36" s="975"/>
      <c r="E36" s="975"/>
      <c r="F36" s="975"/>
      <c r="G36" s="975"/>
      <c r="H36" s="975"/>
      <c r="I36" s="975"/>
      <c r="J36" s="975"/>
      <c r="K36" s="975"/>
      <c r="L36" s="975"/>
      <c r="M36" s="973">
        <f>'Ancillary Costs'!Q13</f>
        <v>0</v>
      </c>
      <c r="N36" s="974"/>
      <c r="O36" s="974"/>
      <c r="P36" s="974"/>
      <c r="Q36" s="930"/>
      <c r="R36" s="930"/>
      <c r="S36" s="930"/>
      <c r="T36" s="930"/>
      <c r="U36" s="930"/>
      <c r="V36" s="930"/>
      <c r="W36" s="930"/>
      <c r="X36" s="930"/>
      <c r="Y36" s="930"/>
      <c r="Z36" s="930"/>
      <c r="AA36" s="930"/>
      <c r="AB36" s="930"/>
      <c r="AC36" s="930"/>
      <c r="AD36" s="930"/>
      <c r="AE36" s="930"/>
      <c r="AF36" s="930"/>
      <c r="AG36" s="170"/>
      <c r="AH36" s="1027" t="str">
        <f>IF('Work Scope'!AD65="","",'Work Scope'!D65)</f>
        <v/>
      </c>
      <c r="AI36" s="1027"/>
      <c r="AJ36" s="1027"/>
      <c r="AK36" s="1027"/>
      <c r="AL36" s="1027"/>
      <c r="AM36" s="1027"/>
      <c r="AN36" s="1027"/>
      <c r="AO36" s="1027"/>
      <c r="AP36" s="1027"/>
      <c r="AQ36" s="1027"/>
      <c r="AR36" s="1027"/>
      <c r="AS36" s="1027"/>
      <c r="AT36" s="1027"/>
      <c r="AU36" s="1027"/>
      <c r="AV36" s="1027"/>
      <c r="AW36" s="994" t="str">
        <f>IF('Work Scope'!AD65="","",'Work Scope'!AB65)</f>
        <v/>
      </c>
      <c r="AX36" s="995"/>
      <c r="AY36" s="931" t="str">
        <f>IF('Work Scope'!AD65="","",'Work Scope'!B65)</f>
        <v/>
      </c>
      <c r="AZ36" s="931"/>
      <c r="BA36" s="996" t="str">
        <f>IF('Work Scope'!AD65="","",'Work Scope'!AD65)</f>
        <v/>
      </c>
      <c r="BB36" s="997"/>
      <c r="BC36" s="997"/>
      <c r="BD36" s="998"/>
      <c r="BE36" s="997" t="str">
        <f>IF('Work Scope'!AD65="","",'Work Scope'!AH65/AW36)</f>
        <v/>
      </c>
      <c r="BF36" s="997"/>
      <c r="BG36" s="997"/>
      <c r="BH36" s="997"/>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row>
    <row r="37" spans="1:136" s="2" customFormat="1" ht="18" customHeight="1" thickTop="1" x14ac:dyDescent="0.25">
      <c r="A37" s="958">
        <f>'Ancillary Costs'!B14</f>
        <v>0</v>
      </c>
      <c r="B37" s="958"/>
      <c r="C37" s="958"/>
      <c r="D37" s="958"/>
      <c r="E37" s="958"/>
      <c r="F37" s="958"/>
      <c r="G37" s="958"/>
      <c r="H37" s="958"/>
      <c r="I37" s="958"/>
      <c r="J37" s="958"/>
      <c r="K37" s="958"/>
      <c r="L37" s="958"/>
      <c r="M37" s="961">
        <f>'Ancillary Costs'!Q14</f>
        <v>0</v>
      </c>
      <c r="N37" s="962"/>
      <c r="O37" s="962"/>
      <c r="P37" s="962"/>
      <c r="Q37" s="930"/>
      <c r="R37" s="930"/>
      <c r="S37" s="930"/>
      <c r="T37" s="930"/>
      <c r="U37" s="930"/>
      <c r="V37" s="930"/>
      <c r="W37" s="930"/>
      <c r="X37" s="930"/>
      <c r="Y37" s="930"/>
      <c r="Z37" s="930"/>
      <c r="AA37" s="930"/>
      <c r="AB37" s="930"/>
      <c r="AC37" s="930"/>
      <c r="AD37" s="930"/>
      <c r="AE37" s="930"/>
      <c r="AF37" s="930"/>
      <c r="AG37" s="170"/>
      <c r="AH37" s="192"/>
      <c r="AI37" s="170"/>
      <c r="AJ37" s="170"/>
      <c r="AK37" s="170"/>
      <c r="AL37" s="170"/>
      <c r="AM37" s="170"/>
      <c r="AN37" s="170"/>
      <c r="AO37" s="170"/>
      <c r="AP37" s="170"/>
      <c r="AQ37" s="170"/>
      <c r="AR37" s="170"/>
      <c r="AS37" s="170"/>
      <c r="AT37" s="170"/>
      <c r="AU37" s="170"/>
      <c r="AV37" s="170"/>
      <c r="AW37" s="170"/>
      <c r="AX37" s="990" t="s">
        <v>482</v>
      </c>
      <c r="AY37" s="990"/>
      <c r="AZ37" s="990"/>
      <c r="BA37" s="992">
        <f>SUM(BA28:BD36)</f>
        <v>0</v>
      </c>
      <c r="BB37" s="992"/>
      <c r="BC37" s="992"/>
      <c r="BD37" s="992"/>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row>
    <row r="38" spans="1:136" s="2" customFormat="1" ht="18" customHeight="1" thickBot="1" x14ac:dyDescent="0.3">
      <c r="A38" s="975">
        <f>'Ancillary Costs'!B15</f>
        <v>0</v>
      </c>
      <c r="B38" s="975"/>
      <c r="C38" s="975"/>
      <c r="D38" s="975"/>
      <c r="E38" s="975"/>
      <c r="F38" s="975"/>
      <c r="G38" s="975"/>
      <c r="H38" s="975"/>
      <c r="I38" s="975"/>
      <c r="J38" s="975"/>
      <c r="K38" s="975"/>
      <c r="L38" s="975"/>
      <c r="M38" s="979">
        <f>'Ancillary Costs'!Q15</f>
        <v>0</v>
      </c>
      <c r="N38" s="980"/>
      <c r="O38" s="980"/>
      <c r="P38" s="980"/>
      <c r="Q38" s="930"/>
      <c r="R38" s="930"/>
      <c r="S38" s="930"/>
      <c r="T38" s="930"/>
      <c r="U38" s="930"/>
      <c r="V38" s="930"/>
      <c r="W38" s="930"/>
      <c r="X38" s="930"/>
      <c r="Y38" s="930"/>
      <c r="Z38" s="930"/>
      <c r="AA38" s="930"/>
      <c r="AB38" s="930"/>
      <c r="AC38" s="930"/>
      <c r="AD38" s="930"/>
      <c r="AE38" s="930"/>
      <c r="AF38" s="930"/>
      <c r="AG38" s="170"/>
      <c r="AH38" s="192" t="s">
        <v>48</v>
      </c>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row>
    <row r="39" spans="1:136" s="2" customFormat="1" ht="18" customHeight="1" thickTop="1" x14ac:dyDescent="0.25">
      <c r="A39" s="976" t="s">
        <v>202</v>
      </c>
      <c r="B39" s="976"/>
      <c r="C39" s="976"/>
      <c r="D39" s="976"/>
      <c r="E39" s="976"/>
      <c r="F39" s="976"/>
      <c r="G39" s="976"/>
      <c r="H39" s="976"/>
      <c r="I39" s="976"/>
      <c r="J39" s="976"/>
      <c r="K39" s="976"/>
      <c r="L39" s="976"/>
      <c r="M39" s="960" t="e">
        <f>'Ancillary Costs'!#REF!</f>
        <v>#REF!</v>
      </c>
      <c r="N39" s="960"/>
      <c r="O39" s="960"/>
      <c r="P39" s="960"/>
      <c r="Q39" s="930"/>
      <c r="R39" s="930"/>
      <c r="S39" s="930"/>
      <c r="T39" s="930"/>
      <c r="U39" s="930"/>
      <c r="V39" s="930"/>
      <c r="W39" s="930"/>
      <c r="X39" s="930"/>
      <c r="Y39" s="930"/>
      <c r="Z39" s="930"/>
      <c r="AA39" s="930"/>
      <c r="AB39" s="930"/>
      <c r="AC39" s="930"/>
      <c r="AD39" s="930"/>
      <c r="AE39" s="930"/>
      <c r="AF39" s="930"/>
      <c r="AG39" s="170"/>
      <c r="AH39" s="946" t="s">
        <v>479</v>
      </c>
      <c r="AI39" s="946"/>
      <c r="AJ39" s="946"/>
      <c r="AK39" s="946"/>
      <c r="AL39" s="946"/>
      <c r="AM39" s="946"/>
      <c r="AN39" s="946"/>
      <c r="AO39" s="946"/>
      <c r="AP39" s="946"/>
      <c r="AQ39" s="946"/>
      <c r="AR39" s="946"/>
      <c r="AS39" s="946"/>
      <c r="AT39" s="946"/>
      <c r="AU39" s="946"/>
      <c r="AV39" s="946"/>
      <c r="AW39" s="990" t="s">
        <v>400</v>
      </c>
      <c r="AX39" s="990"/>
      <c r="AY39" s="990" t="s">
        <v>203</v>
      </c>
      <c r="AZ39" s="990"/>
      <c r="BA39" s="990" t="s">
        <v>204</v>
      </c>
      <c r="BB39" s="990"/>
      <c r="BC39" s="990"/>
      <c r="BD39" s="990"/>
      <c r="BE39" s="990" t="s">
        <v>50</v>
      </c>
      <c r="BF39" s="990"/>
      <c r="BG39" s="990"/>
      <c r="BH39" s="99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row>
    <row r="40" spans="1:136" s="2" customFormat="1" ht="18" customHeight="1" x14ac:dyDescent="0.25">
      <c r="A40" s="946" t="s">
        <v>518</v>
      </c>
      <c r="B40" s="946"/>
      <c r="C40" s="946"/>
      <c r="D40" s="946"/>
      <c r="E40" s="946"/>
      <c r="F40" s="946"/>
      <c r="G40" s="946"/>
      <c r="H40" s="946"/>
      <c r="I40" s="946"/>
      <c r="J40" s="946"/>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027" t="str">
        <f>IF('Work Scope'!AD70="","",'Work Scope'!D70)</f>
        <v/>
      </c>
      <c r="AI40" s="1027"/>
      <c r="AJ40" s="1027"/>
      <c r="AK40" s="1027"/>
      <c r="AL40" s="1027"/>
      <c r="AM40" s="1027"/>
      <c r="AN40" s="1027"/>
      <c r="AO40" s="1027"/>
      <c r="AP40" s="1027"/>
      <c r="AQ40" s="1027"/>
      <c r="AR40" s="1027"/>
      <c r="AS40" s="1027"/>
      <c r="AT40" s="1027"/>
      <c r="AU40" s="1027"/>
      <c r="AV40" s="1027"/>
      <c r="AW40" s="994" t="str">
        <f>IF('Work Scope'!AD70="","",'Work Scope'!AB70)</f>
        <v/>
      </c>
      <c r="AX40" s="995"/>
      <c r="AY40" s="931" t="str">
        <f>IF('Work Scope'!AD70="","",'Work Scope'!B70)</f>
        <v/>
      </c>
      <c r="AZ40" s="931"/>
      <c r="BA40" s="996" t="str">
        <f>IF('Work Scope'!AD70="","",'Work Scope'!AD70)</f>
        <v/>
      </c>
      <c r="BB40" s="997"/>
      <c r="BC40" s="997"/>
      <c r="BD40" s="998"/>
      <c r="BE40" s="997" t="str">
        <f>IF('Work Scope'!AD70="","",'Work Scope'!AH70/AW40)</f>
        <v/>
      </c>
      <c r="BF40" s="997"/>
      <c r="BG40" s="997"/>
      <c r="BH40" s="997"/>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row>
    <row r="41" spans="1:136" s="2" customFormat="1" ht="18" customHeight="1" x14ac:dyDescent="0.25">
      <c r="A41" s="951"/>
      <c r="B41" s="951"/>
      <c r="C41" s="388" t="s">
        <v>519</v>
      </c>
      <c r="D41" s="388"/>
      <c r="E41" s="388"/>
      <c r="F41" s="388"/>
      <c r="G41" s="388"/>
      <c r="H41" s="388"/>
      <c r="I41" s="388"/>
      <c r="J41" s="388"/>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028" t="str">
        <f>IF('Work Scope'!AD71="","",'Work Scope'!D71)</f>
        <v/>
      </c>
      <c r="AI41" s="1028"/>
      <c r="AJ41" s="1028"/>
      <c r="AK41" s="1028"/>
      <c r="AL41" s="1028"/>
      <c r="AM41" s="1028"/>
      <c r="AN41" s="1028"/>
      <c r="AO41" s="1028"/>
      <c r="AP41" s="1028"/>
      <c r="AQ41" s="1028"/>
      <c r="AR41" s="1028"/>
      <c r="AS41" s="1028"/>
      <c r="AT41" s="1028"/>
      <c r="AU41" s="1028"/>
      <c r="AV41" s="1028"/>
      <c r="AW41" s="1029" t="str">
        <f>IF('Work Scope'!AD71="","",'Work Scope'!AB71)</f>
        <v/>
      </c>
      <c r="AX41" s="1030"/>
      <c r="AY41" s="945" t="str">
        <f>IF('Work Scope'!AD71="","",'Work Scope'!B71)</f>
        <v/>
      </c>
      <c r="AZ41" s="945"/>
      <c r="BA41" s="999" t="str">
        <f>IF('Work Scope'!AD71="","",'Work Scope'!AD71)</f>
        <v/>
      </c>
      <c r="BB41" s="993"/>
      <c r="BC41" s="993"/>
      <c r="BD41" s="1000"/>
      <c r="BE41" s="993" t="str">
        <f>IF('Work Scope'!AD71="","",'Work Scope'!AH71/AW41)</f>
        <v/>
      </c>
      <c r="BF41" s="993"/>
      <c r="BG41" s="993"/>
      <c r="BH41" s="993"/>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row>
    <row r="42" spans="1:136" s="2" customFormat="1" ht="18" customHeight="1" x14ac:dyDescent="0.25">
      <c r="A42" s="978"/>
      <c r="B42" s="978"/>
      <c r="C42" s="200" t="s">
        <v>1027</v>
      </c>
      <c r="D42" s="200"/>
      <c r="E42" s="200"/>
      <c r="F42" s="200"/>
      <c r="G42" s="200"/>
      <c r="H42" s="200"/>
      <c r="I42" s="200"/>
      <c r="J42" s="20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027" t="str">
        <f>IF('Work Scope'!AD72="","",'Work Scope'!D72)</f>
        <v/>
      </c>
      <c r="AI42" s="1027"/>
      <c r="AJ42" s="1027"/>
      <c r="AK42" s="1027"/>
      <c r="AL42" s="1027"/>
      <c r="AM42" s="1027"/>
      <c r="AN42" s="1027"/>
      <c r="AO42" s="1027"/>
      <c r="AP42" s="1027"/>
      <c r="AQ42" s="1027"/>
      <c r="AR42" s="1027"/>
      <c r="AS42" s="1027"/>
      <c r="AT42" s="1027"/>
      <c r="AU42" s="1027"/>
      <c r="AV42" s="1027"/>
      <c r="AW42" s="994" t="str">
        <f>IF('Work Scope'!AD72="","",'Work Scope'!AB72)</f>
        <v/>
      </c>
      <c r="AX42" s="995"/>
      <c r="AY42" s="931" t="str">
        <f>IF('Work Scope'!AD72="","",'Work Scope'!B72)</f>
        <v/>
      </c>
      <c r="AZ42" s="931"/>
      <c r="BA42" s="996" t="str">
        <f>IF('Work Scope'!AD72="","",'Work Scope'!AD72)</f>
        <v/>
      </c>
      <c r="BB42" s="997"/>
      <c r="BC42" s="997"/>
      <c r="BD42" s="998"/>
      <c r="BE42" s="997" t="str">
        <f>IF('Work Scope'!AD72="","",'Work Scope'!AH72/AW42)</f>
        <v/>
      </c>
      <c r="BF42" s="997"/>
      <c r="BG42" s="997"/>
      <c r="BH42" s="997"/>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row>
    <row r="43" spans="1:136" s="2" customFormat="1" ht="18" customHeight="1" x14ac:dyDescent="0.25">
      <c r="A43" s="951"/>
      <c r="B43" s="951"/>
      <c r="C43" s="952" t="str">
        <f>IF('Project Information'!F15=2,"Tier 2 WNCF Bonus Form","")</f>
        <v/>
      </c>
      <c r="D43" s="952"/>
      <c r="E43" s="952"/>
      <c r="F43" s="952"/>
      <c r="G43" s="952"/>
      <c r="H43" s="952"/>
      <c r="I43" s="952"/>
      <c r="J43" s="952"/>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028" t="str">
        <f>IF('Work Scope'!AD73="","",'Work Scope'!D73)</f>
        <v/>
      </c>
      <c r="AI43" s="1028"/>
      <c r="AJ43" s="1028"/>
      <c r="AK43" s="1028"/>
      <c r="AL43" s="1028"/>
      <c r="AM43" s="1028"/>
      <c r="AN43" s="1028"/>
      <c r="AO43" s="1028"/>
      <c r="AP43" s="1028"/>
      <c r="AQ43" s="1028"/>
      <c r="AR43" s="1028"/>
      <c r="AS43" s="1028"/>
      <c r="AT43" s="1028"/>
      <c r="AU43" s="1028"/>
      <c r="AV43" s="1028"/>
      <c r="AW43" s="1029" t="str">
        <f>IF('Work Scope'!AD73="","",'Work Scope'!AB73)</f>
        <v/>
      </c>
      <c r="AX43" s="1030"/>
      <c r="AY43" s="945" t="str">
        <f>IF('Work Scope'!AD73="","",'Work Scope'!B73)</f>
        <v/>
      </c>
      <c r="AZ43" s="945"/>
      <c r="BA43" s="999" t="str">
        <f>IF('Work Scope'!AD73="","",'Work Scope'!AD73)</f>
        <v/>
      </c>
      <c r="BB43" s="993"/>
      <c r="BC43" s="993"/>
      <c r="BD43" s="1000"/>
      <c r="BE43" s="993" t="str">
        <f>IF('Work Scope'!AD73="","",'Work Scope'!AH73/AW43)</f>
        <v/>
      </c>
      <c r="BF43" s="993"/>
      <c r="BG43" s="993"/>
      <c r="BH43" s="993"/>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c r="DX43" s="170"/>
      <c r="DY43" s="170"/>
      <c r="DZ43" s="170"/>
      <c r="EA43" s="170"/>
      <c r="EB43" s="170"/>
      <c r="EC43" s="170"/>
      <c r="ED43" s="170"/>
      <c r="EE43" s="170"/>
      <c r="EF43" s="170"/>
    </row>
    <row r="44" spans="1:136" s="2" customFormat="1" ht="18" customHeight="1" x14ac:dyDescent="0.25">
      <c r="A44" s="192" t="s">
        <v>472</v>
      </c>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027" t="str">
        <f>IF('Work Scope'!AD74="","",'Work Scope'!D74)</f>
        <v/>
      </c>
      <c r="AI44" s="1027"/>
      <c r="AJ44" s="1027"/>
      <c r="AK44" s="1027"/>
      <c r="AL44" s="1027"/>
      <c r="AM44" s="1027"/>
      <c r="AN44" s="1027"/>
      <c r="AO44" s="1027"/>
      <c r="AP44" s="1027"/>
      <c r="AQ44" s="1027"/>
      <c r="AR44" s="1027"/>
      <c r="AS44" s="1027"/>
      <c r="AT44" s="1027"/>
      <c r="AU44" s="1027"/>
      <c r="AV44" s="1027"/>
      <c r="AW44" s="994" t="str">
        <f>IF('Work Scope'!AD74="","",'Work Scope'!AB74)</f>
        <v/>
      </c>
      <c r="AX44" s="995"/>
      <c r="AY44" s="931" t="str">
        <f>IF('Work Scope'!AD74="","",'Work Scope'!B74)</f>
        <v/>
      </c>
      <c r="AZ44" s="931"/>
      <c r="BA44" s="996" t="str">
        <f>IF('Work Scope'!AD74="","",'Work Scope'!AD74)</f>
        <v/>
      </c>
      <c r="BB44" s="997"/>
      <c r="BC44" s="997"/>
      <c r="BD44" s="998"/>
      <c r="BE44" s="997" t="str">
        <f>IF('Work Scope'!AD74="","",'Work Scope'!AH74/AW44)</f>
        <v/>
      </c>
      <c r="BF44" s="997"/>
      <c r="BG44" s="997"/>
      <c r="BH44" s="997"/>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0"/>
      <c r="EA44" s="170"/>
      <c r="EB44" s="170"/>
      <c r="EC44" s="170"/>
      <c r="ED44" s="170"/>
      <c r="EE44" s="170"/>
      <c r="EF44" s="170"/>
    </row>
    <row r="45" spans="1:136" s="2" customFormat="1" ht="18" customHeight="1" x14ac:dyDescent="0.25">
      <c r="A45" s="953" t="s">
        <v>1791</v>
      </c>
      <c r="B45" s="953"/>
      <c r="C45" s="953"/>
      <c r="D45" s="953"/>
      <c r="E45" s="953"/>
      <c r="F45" s="953"/>
      <c r="G45" s="953"/>
      <c r="H45" s="977"/>
      <c r="I45" s="957"/>
      <c r="J45" s="957"/>
      <c r="K45" s="957"/>
      <c r="L45" s="957"/>
      <c r="M45" s="201"/>
      <c r="N45" s="201"/>
      <c r="O45" s="201"/>
      <c r="P45" s="201"/>
      <c r="Q45" s="170"/>
      <c r="R45" s="170"/>
      <c r="S45" s="170"/>
      <c r="T45" s="170"/>
      <c r="U45" s="170"/>
      <c r="V45" s="170"/>
      <c r="W45" s="170"/>
      <c r="X45" s="170"/>
      <c r="Y45" s="170"/>
      <c r="Z45" s="170"/>
      <c r="AA45" s="170"/>
      <c r="AB45" s="170"/>
      <c r="AC45" s="170"/>
      <c r="AD45" s="170"/>
      <c r="AE45" s="170"/>
      <c r="AF45" s="170"/>
      <c r="AG45" s="170"/>
      <c r="AH45" s="1028" t="str">
        <f>IF('Work Scope'!AD75="","",'Work Scope'!D75)</f>
        <v/>
      </c>
      <c r="AI45" s="1028"/>
      <c r="AJ45" s="1028"/>
      <c r="AK45" s="1028"/>
      <c r="AL45" s="1028"/>
      <c r="AM45" s="1028"/>
      <c r="AN45" s="1028"/>
      <c r="AO45" s="1028"/>
      <c r="AP45" s="1028"/>
      <c r="AQ45" s="1028"/>
      <c r="AR45" s="1028"/>
      <c r="AS45" s="1028"/>
      <c r="AT45" s="1028"/>
      <c r="AU45" s="1028"/>
      <c r="AV45" s="1028"/>
      <c r="AW45" s="1029" t="str">
        <f>IF('Work Scope'!AD75="","",'Work Scope'!AB75)</f>
        <v/>
      </c>
      <c r="AX45" s="1030"/>
      <c r="AY45" s="945" t="str">
        <f>IF('Work Scope'!AD75="","",'Work Scope'!B75)</f>
        <v/>
      </c>
      <c r="AZ45" s="945"/>
      <c r="BA45" s="999" t="str">
        <f>IF('Work Scope'!AD75="","",'Work Scope'!AD75)</f>
        <v/>
      </c>
      <c r="BB45" s="993"/>
      <c r="BC45" s="993"/>
      <c r="BD45" s="1000"/>
      <c r="BE45" s="993" t="str">
        <f>IF('Work Scope'!AD75="","",'Work Scope'!AH75/AW45)</f>
        <v/>
      </c>
      <c r="BF45" s="993"/>
      <c r="BG45" s="993"/>
      <c r="BH45" s="993"/>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DY45" s="170"/>
      <c r="DZ45" s="170"/>
      <c r="EA45" s="170"/>
      <c r="EB45" s="170"/>
      <c r="EC45" s="170"/>
      <c r="ED45" s="170"/>
      <c r="EE45" s="170"/>
      <c r="EF45" s="170"/>
    </row>
    <row r="46" spans="1:136" s="2" customFormat="1" ht="18" customHeight="1" x14ac:dyDescent="0.25">
      <c r="A46" s="953" t="s">
        <v>1792</v>
      </c>
      <c r="B46" s="953"/>
      <c r="C46" s="953"/>
      <c r="D46" s="953"/>
      <c r="E46" s="953"/>
      <c r="F46" s="953"/>
      <c r="G46" s="953"/>
      <c r="H46" s="956"/>
      <c r="I46" s="957"/>
      <c r="J46" s="957"/>
      <c r="K46" s="957"/>
      <c r="L46" s="957"/>
      <c r="M46" s="201"/>
      <c r="N46" s="201"/>
      <c r="O46" s="201"/>
      <c r="P46" s="201"/>
      <c r="Q46" s="170"/>
      <c r="R46" s="170"/>
      <c r="S46" s="170"/>
      <c r="T46" s="170"/>
      <c r="U46" s="170"/>
      <c r="V46" s="170"/>
      <c r="W46" s="170"/>
      <c r="X46" s="170"/>
      <c r="Y46" s="170"/>
      <c r="Z46" s="170"/>
      <c r="AA46" s="170"/>
      <c r="AB46" s="170"/>
      <c r="AC46" s="170"/>
      <c r="AD46" s="170"/>
      <c r="AE46" s="170"/>
      <c r="AF46" s="170"/>
      <c r="AG46" s="170"/>
      <c r="AH46" s="1027" t="str">
        <f>IF('Work Scope'!AD76="","",'Work Scope'!D76)</f>
        <v/>
      </c>
      <c r="AI46" s="1027"/>
      <c r="AJ46" s="1027"/>
      <c r="AK46" s="1027"/>
      <c r="AL46" s="1027"/>
      <c r="AM46" s="1027"/>
      <c r="AN46" s="1027"/>
      <c r="AO46" s="1027"/>
      <c r="AP46" s="1027"/>
      <c r="AQ46" s="1027"/>
      <c r="AR46" s="1027"/>
      <c r="AS46" s="1027"/>
      <c r="AT46" s="1027"/>
      <c r="AU46" s="1027"/>
      <c r="AV46" s="1027"/>
      <c r="AW46" s="994" t="str">
        <f>IF('Work Scope'!AD76="","",'Work Scope'!AB76)</f>
        <v/>
      </c>
      <c r="AX46" s="995"/>
      <c r="AY46" s="931" t="str">
        <f>IF('Work Scope'!AD76="","",'Work Scope'!B76)</f>
        <v/>
      </c>
      <c r="AZ46" s="931"/>
      <c r="BA46" s="996" t="str">
        <f>IF('Work Scope'!AD76="","",'Work Scope'!AD76)</f>
        <v/>
      </c>
      <c r="BB46" s="997"/>
      <c r="BC46" s="997"/>
      <c r="BD46" s="998"/>
      <c r="BE46" s="997" t="str">
        <f>IF('Work Scope'!AD76="","",'Work Scope'!AH76/AW46)</f>
        <v/>
      </c>
      <c r="BF46" s="997"/>
      <c r="BG46" s="997"/>
      <c r="BH46" s="997"/>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row>
    <row r="47" spans="1:136" s="2" customFormat="1" ht="18" customHeight="1" x14ac:dyDescent="0.25">
      <c r="A47" s="953" t="s">
        <v>1793</v>
      </c>
      <c r="B47" s="953"/>
      <c r="C47" s="953"/>
      <c r="D47" s="953"/>
      <c r="E47" s="953"/>
      <c r="F47" s="953"/>
      <c r="G47" s="953"/>
      <c r="H47" s="954" t="e">
        <f>'Work Scope'!AK84/(H45+(H46*'Project Score'!J21))</f>
        <v>#DIV/0!</v>
      </c>
      <c r="I47" s="955"/>
      <c r="J47" s="955"/>
      <c r="K47" s="955"/>
      <c r="L47" s="955"/>
      <c r="M47" s="201"/>
      <c r="N47" s="201"/>
      <c r="O47" s="201"/>
      <c r="P47" s="201"/>
      <c r="Q47" s="170"/>
      <c r="R47" s="170"/>
      <c r="S47" s="170"/>
      <c r="T47" s="170"/>
      <c r="U47" s="170"/>
      <c r="V47" s="170"/>
      <c r="W47" s="170"/>
      <c r="X47" s="170"/>
      <c r="Y47" s="170"/>
      <c r="Z47" s="170"/>
      <c r="AA47" s="170"/>
      <c r="AB47" s="170"/>
      <c r="AC47" s="170"/>
      <c r="AD47" s="170"/>
      <c r="AE47" s="170"/>
      <c r="AF47" s="170"/>
      <c r="AG47" s="170"/>
      <c r="AH47" s="1028" t="str">
        <f>IF('Work Scope'!AD77="","",'Work Scope'!D77)</f>
        <v/>
      </c>
      <c r="AI47" s="1028"/>
      <c r="AJ47" s="1028"/>
      <c r="AK47" s="1028"/>
      <c r="AL47" s="1028"/>
      <c r="AM47" s="1028"/>
      <c r="AN47" s="1028"/>
      <c r="AO47" s="1028"/>
      <c r="AP47" s="1028"/>
      <c r="AQ47" s="1028"/>
      <c r="AR47" s="1028"/>
      <c r="AS47" s="1028"/>
      <c r="AT47" s="1028"/>
      <c r="AU47" s="1028"/>
      <c r="AV47" s="1028"/>
      <c r="AW47" s="1029" t="str">
        <f>IF('Work Scope'!AD77="","",'Work Scope'!AB77)</f>
        <v/>
      </c>
      <c r="AX47" s="1030"/>
      <c r="AY47" s="945" t="str">
        <f>IF('Work Scope'!AD77="","",'Work Scope'!B77)</f>
        <v/>
      </c>
      <c r="AZ47" s="945"/>
      <c r="BA47" s="999" t="str">
        <f>IF('Work Scope'!AD77="","",'Work Scope'!AD77)</f>
        <v/>
      </c>
      <c r="BB47" s="993"/>
      <c r="BC47" s="993"/>
      <c r="BD47" s="1000"/>
      <c r="BE47" s="993" t="str">
        <f>IF('Work Scope'!AD77="","",'Work Scope'!AH77/AW47)</f>
        <v/>
      </c>
      <c r="BF47" s="993"/>
      <c r="BG47" s="993"/>
      <c r="BH47" s="993"/>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c r="DX47" s="170"/>
      <c r="DY47" s="170"/>
      <c r="DZ47" s="170"/>
      <c r="EA47" s="170"/>
      <c r="EB47" s="170"/>
      <c r="EC47" s="170"/>
      <c r="ED47" s="170"/>
      <c r="EE47" s="170"/>
      <c r="EF47" s="170"/>
    </row>
    <row r="48" spans="1:136" s="2" customFormat="1" ht="18" customHeight="1" thickBot="1" x14ac:dyDescent="0.3">
      <c r="A48" s="945"/>
      <c r="B48" s="945"/>
      <c r="C48" s="945"/>
      <c r="D48" s="945"/>
      <c r="E48" s="945"/>
      <c r="F48" s="945"/>
      <c r="G48" s="945"/>
      <c r="H48" s="945"/>
      <c r="I48" s="945"/>
      <c r="J48" s="945"/>
      <c r="K48" s="945"/>
      <c r="L48" s="945"/>
      <c r="M48" s="945"/>
      <c r="N48" s="945"/>
      <c r="O48" s="945"/>
      <c r="P48" s="945"/>
      <c r="Q48" s="945"/>
      <c r="R48" s="945"/>
      <c r="S48" s="945"/>
      <c r="T48" s="945"/>
      <c r="U48" s="945"/>
      <c r="V48" s="945"/>
      <c r="W48" s="945"/>
      <c r="X48" s="945"/>
      <c r="Y48" s="945"/>
      <c r="Z48" s="945"/>
      <c r="AA48" s="945"/>
      <c r="AB48" s="945"/>
      <c r="AC48" s="945"/>
      <c r="AD48" s="945"/>
      <c r="AE48" s="945"/>
      <c r="AF48" s="945"/>
      <c r="AG48" s="170"/>
      <c r="AH48" s="1027" t="str">
        <f>IF('Work Scope'!AD78="","",'Work Scope'!D78)</f>
        <v/>
      </c>
      <c r="AI48" s="1027"/>
      <c r="AJ48" s="1027"/>
      <c r="AK48" s="1027"/>
      <c r="AL48" s="1027"/>
      <c r="AM48" s="1027"/>
      <c r="AN48" s="1027"/>
      <c r="AO48" s="1027"/>
      <c r="AP48" s="1027"/>
      <c r="AQ48" s="1027"/>
      <c r="AR48" s="1027"/>
      <c r="AS48" s="1027"/>
      <c r="AT48" s="1027"/>
      <c r="AU48" s="1027"/>
      <c r="AV48" s="1027"/>
      <c r="AW48" s="994" t="str">
        <f>IF('Work Scope'!AD78="","",'Work Scope'!AB78)</f>
        <v/>
      </c>
      <c r="AX48" s="995"/>
      <c r="AY48" s="931" t="str">
        <f>IF('Work Scope'!AD78="","",'Work Scope'!B78)</f>
        <v/>
      </c>
      <c r="AZ48" s="931"/>
      <c r="BA48" s="1031" t="str">
        <f>IF('Work Scope'!AD78="","",'Work Scope'!AD78)</f>
        <v/>
      </c>
      <c r="BB48" s="1032"/>
      <c r="BC48" s="1032"/>
      <c r="BD48" s="1033"/>
      <c r="BE48" s="997" t="str">
        <f>IF('Work Scope'!AD78="","",'Work Scope'!AH78/AW48)</f>
        <v/>
      </c>
      <c r="BF48" s="997"/>
      <c r="BG48" s="997"/>
      <c r="BH48" s="997"/>
      <c r="BI48" s="170"/>
      <c r="BJ48" s="170"/>
      <c r="BK48" s="170"/>
      <c r="BL48" s="170"/>
      <c r="BM48" s="170"/>
      <c r="BN48" s="170"/>
      <c r="BO48" s="170"/>
      <c r="BP48" s="170"/>
      <c r="BQ48" s="170"/>
      <c r="BR48" s="170"/>
      <c r="BS48" s="170"/>
      <c r="BT48" s="170"/>
      <c r="BU48" s="170"/>
      <c r="BV48" s="170"/>
      <c r="BW48" s="170"/>
      <c r="BX48" s="170"/>
      <c r="BY48" s="170"/>
      <c r="BZ48" s="170"/>
      <c r="CA48" s="170"/>
      <c r="CB48" s="170"/>
      <c r="CC48" s="170"/>
      <c r="CD48" s="170"/>
      <c r="CE48" s="170"/>
      <c r="CF48" s="170"/>
      <c r="CG48" s="170"/>
      <c r="CH48" s="170"/>
      <c r="CI48" s="170"/>
      <c r="CJ48" s="170"/>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DY48" s="170"/>
      <c r="DZ48" s="170"/>
      <c r="EA48" s="170"/>
      <c r="EB48" s="170"/>
      <c r="EC48" s="170"/>
      <c r="ED48" s="170"/>
      <c r="EE48" s="170"/>
      <c r="EF48" s="170"/>
    </row>
    <row r="49" spans="1:136" s="2" customFormat="1" ht="18" customHeight="1" thickTop="1" x14ac:dyDescent="0.25">
      <c r="A49" s="946" t="s">
        <v>490</v>
      </c>
      <c r="B49" s="946"/>
      <c r="C49" s="946"/>
      <c r="D49" s="946"/>
      <c r="E49" s="946"/>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c r="AG49" s="170"/>
      <c r="AH49" s="192"/>
      <c r="AI49" s="170"/>
      <c r="AJ49" s="170"/>
      <c r="AK49" s="170"/>
      <c r="AL49" s="170"/>
      <c r="AM49" s="170"/>
      <c r="AN49" s="170"/>
      <c r="AO49" s="170"/>
      <c r="AP49" s="170"/>
      <c r="AQ49" s="170"/>
      <c r="AR49" s="170"/>
      <c r="AS49" s="170"/>
      <c r="AT49" s="170"/>
      <c r="AU49" s="170"/>
      <c r="AV49" s="170"/>
      <c r="AW49" s="170"/>
      <c r="AX49" s="990" t="s">
        <v>482</v>
      </c>
      <c r="AY49" s="990"/>
      <c r="AZ49" s="990"/>
      <c r="BA49" s="992">
        <f>SUM(BA40:BD48)</f>
        <v>0</v>
      </c>
      <c r="BB49" s="992"/>
      <c r="BC49" s="992"/>
      <c r="BD49" s="992"/>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c r="CC49" s="170"/>
      <c r="CD49" s="170"/>
      <c r="CE49" s="170"/>
      <c r="CF49" s="170"/>
      <c r="CG49" s="170"/>
      <c r="CH49" s="170"/>
      <c r="CI49" s="170"/>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c r="DX49" s="170"/>
      <c r="DY49" s="170"/>
      <c r="DZ49" s="170"/>
      <c r="EA49" s="170"/>
      <c r="EB49" s="170"/>
      <c r="EC49" s="170"/>
      <c r="ED49" s="170"/>
      <c r="EE49" s="170"/>
      <c r="EF49" s="170"/>
    </row>
    <row r="50" spans="1:136" s="2" customFormat="1" ht="18" customHeight="1" x14ac:dyDescent="0.25">
      <c r="A50" s="948"/>
      <c r="B50" s="948"/>
      <c r="C50" s="948"/>
      <c r="D50" s="948"/>
      <c r="E50" s="948"/>
      <c r="F50" s="948"/>
      <c r="G50" s="948"/>
      <c r="H50" s="948"/>
      <c r="I50" s="948"/>
      <c r="J50" s="948"/>
      <c r="K50" s="948"/>
      <c r="L50" s="948"/>
      <c r="M50" s="948"/>
      <c r="N50" s="948"/>
      <c r="O50" s="948"/>
      <c r="P50" s="948"/>
      <c r="Q50" s="948"/>
      <c r="R50" s="948"/>
      <c r="S50" s="948"/>
      <c r="T50" s="948"/>
      <c r="U50" s="948"/>
      <c r="V50" s="948"/>
      <c r="W50" s="948"/>
      <c r="X50" s="948"/>
      <c r="Y50" s="948"/>
      <c r="Z50" s="948"/>
      <c r="AA50" s="948"/>
      <c r="AB50" s="948"/>
      <c r="AC50" s="948"/>
      <c r="AD50" s="948"/>
      <c r="AE50" s="948"/>
      <c r="AF50" s="948"/>
      <c r="AG50" s="170"/>
      <c r="AH50" s="946" t="s">
        <v>863</v>
      </c>
      <c r="AI50" s="946"/>
      <c r="AJ50" s="946"/>
      <c r="AK50" s="946"/>
      <c r="AL50" s="946"/>
      <c r="AM50" s="946"/>
      <c r="AN50" s="946"/>
      <c r="AO50" s="946"/>
      <c r="AP50" s="946"/>
      <c r="AQ50" s="946"/>
      <c r="AR50" s="946"/>
      <c r="AS50" s="946"/>
      <c r="AT50" s="946"/>
      <c r="AU50" s="946"/>
      <c r="AV50" s="946"/>
      <c r="AW50" s="946"/>
      <c r="AX50" s="946"/>
      <c r="AY50" s="946"/>
      <c r="AZ50" s="946"/>
      <c r="BA50" s="946"/>
      <c r="BB50" s="946"/>
      <c r="BC50" s="946"/>
      <c r="BD50" s="946"/>
      <c r="BE50" s="946"/>
      <c r="BF50" s="946"/>
      <c r="BG50" s="946"/>
      <c r="BH50" s="946"/>
      <c r="BI50" s="170"/>
      <c r="BJ50" s="170"/>
      <c r="BK50" s="170"/>
      <c r="BL50" s="170"/>
      <c r="BM50" s="170"/>
      <c r="BN50" s="170"/>
      <c r="BO50" s="170"/>
      <c r="BP50" s="170"/>
      <c r="BQ50" s="170"/>
      <c r="BR50" s="170"/>
      <c r="BS50" s="170"/>
      <c r="BT50" s="170"/>
      <c r="BU50" s="170"/>
      <c r="BV50" s="170"/>
      <c r="BW50" s="170"/>
      <c r="BX50" s="170"/>
      <c r="BY50" s="170"/>
      <c r="BZ50" s="170"/>
      <c r="CA50" s="170"/>
      <c r="CB50" s="170"/>
      <c r="CC50" s="170"/>
      <c r="CD50" s="170"/>
      <c r="CE50" s="170"/>
      <c r="CF50" s="170"/>
      <c r="CG50" s="170"/>
      <c r="CH50" s="170"/>
      <c r="CI50" s="170"/>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c r="DW50" s="170"/>
      <c r="DX50" s="170"/>
      <c r="DY50" s="170"/>
      <c r="DZ50" s="170"/>
      <c r="EA50" s="170"/>
      <c r="EB50" s="170"/>
      <c r="EC50" s="170"/>
      <c r="ED50" s="170"/>
      <c r="EE50" s="170"/>
      <c r="EF50" s="170"/>
    </row>
    <row r="51" spans="1:136" s="2" customFormat="1" ht="18" customHeight="1" x14ac:dyDescent="0.25">
      <c r="A51" s="948"/>
      <c r="B51" s="948"/>
      <c r="C51" s="948"/>
      <c r="D51" s="948"/>
      <c r="E51" s="948"/>
      <c r="F51" s="948"/>
      <c r="G51" s="948"/>
      <c r="H51" s="948"/>
      <c r="I51" s="948"/>
      <c r="J51" s="948"/>
      <c r="K51" s="948"/>
      <c r="L51" s="948"/>
      <c r="M51" s="948"/>
      <c r="N51" s="948"/>
      <c r="O51" s="948"/>
      <c r="P51" s="948"/>
      <c r="Q51" s="948"/>
      <c r="R51" s="948"/>
      <c r="S51" s="948"/>
      <c r="T51" s="948"/>
      <c r="U51" s="948"/>
      <c r="V51" s="948"/>
      <c r="W51" s="948"/>
      <c r="X51" s="948"/>
      <c r="Y51" s="948"/>
      <c r="Z51" s="948"/>
      <c r="AA51" s="948"/>
      <c r="AB51" s="948"/>
      <c r="AC51" s="948"/>
      <c r="AD51" s="948"/>
      <c r="AE51" s="948"/>
      <c r="AF51" s="948"/>
      <c r="AG51" s="170"/>
      <c r="AH51" s="1040" t="str">
        <f>IF('Project Information'!B47="","",'Project Information'!B47)</f>
        <v/>
      </c>
      <c r="AI51" s="1040"/>
      <c r="AJ51" s="1040"/>
      <c r="AK51" s="1040"/>
      <c r="AL51" s="1040"/>
      <c r="AM51" s="1040"/>
      <c r="AN51" s="1040"/>
      <c r="AO51" s="1040"/>
      <c r="AP51" s="1040"/>
      <c r="AQ51" s="1040"/>
      <c r="AR51" s="1040"/>
      <c r="AS51" s="1040"/>
      <c r="AT51" s="1040"/>
      <c r="AU51" s="1040"/>
      <c r="AV51" s="1040"/>
      <c r="AW51" s="1040"/>
      <c r="AX51" s="1040"/>
      <c r="AY51" s="1040"/>
      <c r="AZ51" s="1040"/>
      <c r="BA51" s="1040"/>
      <c r="BB51" s="1040"/>
      <c r="BC51" s="1040"/>
      <c r="BD51" s="1040"/>
      <c r="BE51" s="1040"/>
      <c r="BF51" s="1040"/>
      <c r="BG51" s="1040"/>
      <c r="BH51" s="1040"/>
      <c r="BI51" s="1040"/>
      <c r="BJ51" s="1040"/>
      <c r="BK51" s="1040"/>
      <c r="BL51" s="1040"/>
      <c r="BM51" s="1040"/>
      <c r="BN51" s="1040"/>
      <c r="BO51" s="1040"/>
      <c r="BP51" s="1040"/>
      <c r="BQ51" s="1040"/>
      <c r="BR51" s="1040"/>
      <c r="BS51" s="1040"/>
      <c r="BT51" s="1040"/>
      <c r="BU51" s="1040"/>
      <c r="BV51" s="1040"/>
      <c r="BW51" s="1040"/>
      <c r="BX51" s="1040"/>
      <c r="BY51" s="1040"/>
      <c r="BZ51" s="1040"/>
      <c r="CA51" s="1040"/>
      <c r="CB51" s="1040"/>
      <c r="CC51" s="1040"/>
      <c r="CD51" s="1040"/>
      <c r="CE51" s="1040"/>
      <c r="CF51" s="1040"/>
      <c r="CG51" s="170"/>
      <c r="CH51" s="170"/>
      <c r="CI51" s="170"/>
      <c r="CJ51" s="170"/>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c r="DW51" s="170"/>
      <c r="DX51" s="170"/>
      <c r="DY51" s="170"/>
      <c r="DZ51" s="170"/>
      <c r="EA51" s="170"/>
      <c r="EB51" s="170"/>
      <c r="EC51" s="170"/>
      <c r="ED51" s="170"/>
      <c r="EE51" s="170"/>
      <c r="EF51" s="170"/>
    </row>
    <row r="52" spans="1:136" s="2" customFormat="1" ht="18" customHeight="1" x14ac:dyDescent="0.25">
      <c r="A52" s="948"/>
      <c r="B52" s="948"/>
      <c r="C52" s="948"/>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170"/>
      <c r="AH52" s="1040"/>
      <c r="AI52" s="1040"/>
      <c r="AJ52" s="1040"/>
      <c r="AK52" s="1040"/>
      <c r="AL52" s="1040"/>
      <c r="AM52" s="1040"/>
      <c r="AN52" s="1040"/>
      <c r="AO52" s="1040"/>
      <c r="AP52" s="1040"/>
      <c r="AQ52" s="1040"/>
      <c r="AR52" s="1040"/>
      <c r="AS52" s="1040"/>
      <c r="AT52" s="1040"/>
      <c r="AU52" s="1040"/>
      <c r="AV52" s="1040"/>
      <c r="AW52" s="1040"/>
      <c r="AX52" s="1040"/>
      <c r="AY52" s="1040"/>
      <c r="AZ52" s="1040"/>
      <c r="BA52" s="1040"/>
      <c r="BB52" s="1040"/>
      <c r="BC52" s="1040"/>
      <c r="BD52" s="1040"/>
      <c r="BE52" s="1040"/>
      <c r="BF52" s="1040"/>
      <c r="BG52" s="1040"/>
      <c r="BH52" s="1040"/>
      <c r="BI52" s="1040"/>
      <c r="BJ52" s="1040"/>
      <c r="BK52" s="1040"/>
      <c r="BL52" s="1040"/>
      <c r="BM52" s="1040"/>
      <c r="BN52" s="1040"/>
      <c r="BO52" s="1040"/>
      <c r="BP52" s="1040"/>
      <c r="BQ52" s="1040"/>
      <c r="BR52" s="1040"/>
      <c r="BS52" s="1040"/>
      <c r="BT52" s="1040"/>
      <c r="BU52" s="1040"/>
      <c r="BV52" s="1040"/>
      <c r="BW52" s="1040"/>
      <c r="BX52" s="1040"/>
      <c r="BY52" s="1040"/>
      <c r="BZ52" s="1040"/>
      <c r="CA52" s="1040"/>
      <c r="CB52" s="1040"/>
      <c r="CC52" s="1040"/>
      <c r="CD52" s="1040"/>
      <c r="CE52" s="1040"/>
      <c r="CF52" s="1040"/>
      <c r="CG52" s="170"/>
      <c r="CH52" s="170"/>
      <c r="CI52" s="170"/>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c r="DX52" s="170"/>
      <c r="DY52" s="170"/>
      <c r="DZ52" s="170"/>
      <c r="EA52" s="170"/>
      <c r="EB52" s="170"/>
      <c r="EC52" s="170"/>
      <c r="ED52" s="170"/>
      <c r="EE52" s="170"/>
      <c r="EF52" s="170"/>
    </row>
    <row r="53" spans="1:136" s="2" customFormat="1" ht="18" customHeight="1" x14ac:dyDescent="0.25">
      <c r="A53" s="949"/>
      <c r="B53" s="949"/>
      <c r="C53" s="949"/>
      <c r="D53" s="949"/>
      <c r="E53" s="949"/>
      <c r="F53" s="949"/>
      <c r="G53" s="949"/>
      <c r="H53" s="949"/>
      <c r="I53" s="949"/>
      <c r="J53" s="949"/>
      <c r="K53" s="949"/>
      <c r="L53" s="949"/>
      <c r="M53" s="949"/>
      <c r="N53" s="949"/>
      <c r="O53" s="949"/>
      <c r="P53" s="949"/>
      <c r="Q53" s="949"/>
      <c r="R53" s="949"/>
      <c r="S53" s="949"/>
      <c r="T53" s="949"/>
      <c r="U53" s="949"/>
      <c r="V53" s="949"/>
      <c r="W53" s="949"/>
      <c r="X53" s="949"/>
      <c r="Y53" s="949"/>
      <c r="Z53" s="949"/>
      <c r="AA53" s="949"/>
      <c r="AB53" s="949"/>
      <c r="AC53" s="949"/>
      <c r="AD53" s="949"/>
      <c r="AE53" s="949"/>
      <c r="AF53" s="949"/>
      <c r="AG53" s="170"/>
      <c r="AH53" s="1040"/>
      <c r="AI53" s="1040"/>
      <c r="AJ53" s="1040"/>
      <c r="AK53" s="1040"/>
      <c r="AL53" s="1040"/>
      <c r="AM53" s="1040"/>
      <c r="AN53" s="1040"/>
      <c r="AO53" s="1040"/>
      <c r="AP53" s="1040"/>
      <c r="AQ53" s="1040"/>
      <c r="AR53" s="1040"/>
      <c r="AS53" s="1040"/>
      <c r="AT53" s="1040"/>
      <c r="AU53" s="1040"/>
      <c r="AV53" s="1040"/>
      <c r="AW53" s="1040"/>
      <c r="AX53" s="1040"/>
      <c r="AY53" s="1040"/>
      <c r="AZ53" s="1040"/>
      <c r="BA53" s="1040"/>
      <c r="BB53" s="1040"/>
      <c r="BC53" s="1040"/>
      <c r="BD53" s="1040"/>
      <c r="BE53" s="1040"/>
      <c r="BF53" s="1040"/>
      <c r="BG53" s="1040"/>
      <c r="BH53" s="1040"/>
      <c r="BI53" s="1040"/>
      <c r="BJ53" s="1040"/>
      <c r="BK53" s="1040"/>
      <c r="BL53" s="1040"/>
      <c r="BM53" s="1040"/>
      <c r="BN53" s="1040"/>
      <c r="BO53" s="1040"/>
      <c r="BP53" s="1040"/>
      <c r="BQ53" s="1040"/>
      <c r="BR53" s="1040"/>
      <c r="BS53" s="1040"/>
      <c r="BT53" s="1040"/>
      <c r="BU53" s="1040"/>
      <c r="BV53" s="1040"/>
      <c r="BW53" s="1040"/>
      <c r="BX53" s="1040"/>
      <c r="BY53" s="1040"/>
      <c r="BZ53" s="1040"/>
      <c r="CA53" s="1040"/>
      <c r="CB53" s="1040"/>
      <c r="CC53" s="1040"/>
      <c r="CD53" s="1040"/>
      <c r="CE53" s="1040"/>
      <c r="CF53" s="1040"/>
      <c r="CG53" s="170"/>
      <c r="CH53" s="170"/>
      <c r="CI53" s="170"/>
      <c r="CJ53" s="170"/>
      <c r="CK53" s="170"/>
      <c r="CL53" s="170"/>
      <c r="CM53" s="170"/>
      <c r="CN53" s="170"/>
      <c r="CO53" s="170"/>
      <c r="CP53" s="170"/>
      <c r="CQ53" s="170"/>
      <c r="CR53" s="170"/>
      <c r="CS53" s="170"/>
      <c r="CT53" s="170"/>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c r="DX53" s="170"/>
      <c r="DY53" s="170"/>
      <c r="DZ53" s="170"/>
      <c r="EA53" s="170"/>
      <c r="EB53" s="170"/>
      <c r="EC53" s="170"/>
      <c r="ED53" s="170"/>
      <c r="EE53" s="170"/>
      <c r="EF53" s="170"/>
    </row>
    <row r="54" spans="1:136" s="2" customFormat="1" ht="18" customHeight="1" x14ac:dyDescent="0.25">
      <c r="A54" s="950" t="s">
        <v>489</v>
      </c>
      <c r="B54" s="950"/>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170"/>
      <c r="AH54" s="1040"/>
      <c r="AI54" s="1040"/>
      <c r="AJ54" s="1040"/>
      <c r="AK54" s="1040"/>
      <c r="AL54" s="1040"/>
      <c r="AM54" s="1040"/>
      <c r="AN54" s="1040"/>
      <c r="AO54" s="1040"/>
      <c r="AP54" s="1040"/>
      <c r="AQ54" s="1040"/>
      <c r="AR54" s="1040"/>
      <c r="AS54" s="1040"/>
      <c r="AT54" s="1040"/>
      <c r="AU54" s="1040"/>
      <c r="AV54" s="1040"/>
      <c r="AW54" s="1040"/>
      <c r="AX54" s="1040"/>
      <c r="AY54" s="1040"/>
      <c r="AZ54" s="1040"/>
      <c r="BA54" s="1040"/>
      <c r="BB54" s="1040"/>
      <c r="BC54" s="1040"/>
      <c r="BD54" s="1040"/>
      <c r="BE54" s="1040"/>
      <c r="BF54" s="1040"/>
      <c r="BG54" s="1040"/>
      <c r="BH54" s="1040"/>
      <c r="BI54" s="1040"/>
      <c r="BJ54" s="1040"/>
      <c r="BK54" s="1040"/>
      <c r="BL54" s="1040"/>
      <c r="BM54" s="1040"/>
      <c r="BN54" s="1040"/>
      <c r="BO54" s="1040"/>
      <c r="BP54" s="1040"/>
      <c r="BQ54" s="1040"/>
      <c r="BR54" s="1040"/>
      <c r="BS54" s="1040"/>
      <c r="BT54" s="1040"/>
      <c r="BU54" s="1040"/>
      <c r="BV54" s="1040"/>
      <c r="BW54" s="1040"/>
      <c r="BX54" s="1040"/>
      <c r="BY54" s="1040"/>
      <c r="BZ54" s="1040"/>
      <c r="CA54" s="1040"/>
      <c r="CB54" s="1040"/>
      <c r="CC54" s="1040"/>
      <c r="CD54" s="1040"/>
      <c r="CE54" s="1040"/>
      <c r="CF54" s="104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DY54" s="170"/>
      <c r="DZ54" s="170"/>
      <c r="EA54" s="170"/>
      <c r="EB54" s="170"/>
      <c r="EC54" s="170"/>
      <c r="ED54" s="170"/>
      <c r="EE54" s="170"/>
      <c r="EF54" s="170"/>
    </row>
    <row r="55" spans="1:136" s="2" customFormat="1" ht="18" customHeight="1" x14ac:dyDescent="0.25">
      <c r="A55" s="948"/>
      <c r="B55" s="948"/>
      <c r="C55" s="948"/>
      <c r="D55" s="948"/>
      <c r="E55" s="948"/>
      <c r="F55" s="948"/>
      <c r="G55" s="948"/>
      <c r="H55" s="948"/>
      <c r="I55" s="948"/>
      <c r="J55" s="948"/>
      <c r="K55" s="948"/>
      <c r="L55" s="948"/>
      <c r="M55" s="948"/>
      <c r="N55" s="948"/>
      <c r="O55" s="948"/>
      <c r="P55" s="948"/>
      <c r="Q55" s="948"/>
      <c r="R55" s="948"/>
      <c r="S55" s="948"/>
      <c r="T55" s="948"/>
      <c r="U55" s="948"/>
      <c r="V55" s="948"/>
      <c r="W55" s="948"/>
      <c r="X55" s="948"/>
      <c r="Y55" s="948"/>
      <c r="Z55" s="948"/>
      <c r="AA55" s="948"/>
      <c r="AB55" s="948"/>
      <c r="AC55" s="948"/>
      <c r="AD55" s="948"/>
      <c r="AE55" s="948"/>
      <c r="AF55" s="948"/>
      <c r="AG55" s="170"/>
      <c r="AH55" s="1040"/>
      <c r="AI55" s="1040"/>
      <c r="AJ55" s="1040"/>
      <c r="AK55" s="1040"/>
      <c r="AL55" s="1040"/>
      <c r="AM55" s="1040"/>
      <c r="AN55" s="1040"/>
      <c r="AO55" s="1040"/>
      <c r="AP55" s="1040"/>
      <c r="AQ55" s="1040"/>
      <c r="AR55" s="1040"/>
      <c r="AS55" s="1040"/>
      <c r="AT55" s="1040"/>
      <c r="AU55" s="1040"/>
      <c r="AV55" s="1040"/>
      <c r="AW55" s="1040"/>
      <c r="AX55" s="1040"/>
      <c r="AY55" s="1040"/>
      <c r="AZ55" s="1040"/>
      <c r="BA55" s="1040"/>
      <c r="BB55" s="1040"/>
      <c r="BC55" s="1040"/>
      <c r="BD55" s="1040"/>
      <c r="BE55" s="1040"/>
      <c r="BF55" s="1040"/>
      <c r="BG55" s="1040"/>
      <c r="BH55" s="1040"/>
      <c r="BI55" s="1040"/>
      <c r="BJ55" s="1040"/>
      <c r="BK55" s="1040"/>
      <c r="BL55" s="1040"/>
      <c r="BM55" s="1040"/>
      <c r="BN55" s="1040"/>
      <c r="BO55" s="1040"/>
      <c r="BP55" s="1040"/>
      <c r="BQ55" s="1040"/>
      <c r="BR55" s="1040"/>
      <c r="BS55" s="1040"/>
      <c r="BT55" s="1040"/>
      <c r="BU55" s="1040"/>
      <c r="BV55" s="1040"/>
      <c r="BW55" s="1040"/>
      <c r="BX55" s="1040"/>
      <c r="BY55" s="1040"/>
      <c r="BZ55" s="1040"/>
      <c r="CA55" s="1040"/>
      <c r="CB55" s="1040"/>
      <c r="CC55" s="1040"/>
      <c r="CD55" s="1040"/>
      <c r="CE55" s="1040"/>
      <c r="CF55" s="1040"/>
      <c r="CG55" s="170"/>
      <c r="CH55" s="170"/>
      <c r="CI55" s="170"/>
      <c r="CJ55" s="170"/>
      <c r="CK55" s="170"/>
      <c r="CL55" s="170"/>
      <c r="CM55" s="170"/>
      <c r="CN55" s="170"/>
      <c r="CO55" s="170"/>
      <c r="CP55" s="170"/>
      <c r="CQ55" s="170"/>
      <c r="CR55" s="170"/>
      <c r="CS55" s="170"/>
      <c r="CT55" s="170"/>
      <c r="CU55" s="170"/>
      <c r="CV55" s="170"/>
      <c r="CW55" s="170"/>
      <c r="CX55" s="170"/>
      <c r="CY55" s="170"/>
      <c r="CZ55" s="170"/>
      <c r="DA55" s="170"/>
      <c r="DB55" s="170"/>
      <c r="DC55" s="170"/>
      <c r="DD55" s="170"/>
      <c r="DE55" s="170"/>
      <c r="DF55" s="170"/>
      <c r="DG55" s="170"/>
      <c r="DH55" s="170"/>
      <c r="DI55" s="170"/>
      <c r="DJ55" s="170"/>
      <c r="DK55" s="170"/>
      <c r="DL55" s="170"/>
      <c r="DM55" s="170"/>
      <c r="DN55" s="170"/>
      <c r="DO55" s="170"/>
      <c r="DP55" s="170"/>
      <c r="DQ55" s="170"/>
      <c r="DR55" s="170"/>
      <c r="DS55" s="170"/>
      <c r="DT55" s="170"/>
      <c r="DU55" s="170"/>
      <c r="DV55" s="170"/>
      <c r="DW55" s="170"/>
      <c r="DX55" s="170"/>
      <c r="DY55" s="170"/>
      <c r="DZ55" s="170"/>
      <c r="EA55" s="170"/>
      <c r="EB55" s="170"/>
      <c r="EC55" s="170"/>
      <c r="ED55" s="170"/>
      <c r="EE55" s="170"/>
      <c r="EF55" s="170"/>
    </row>
    <row r="56" spans="1:136" s="2" customFormat="1" ht="18" customHeight="1" x14ac:dyDescent="0.25">
      <c r="A56" s="948"/>
      <c r="B56" s="948"/>
      <c r="C56" s="948"/>
      <c r="D56" s="948"/>
      <c r="E56" s="948"/>
      <c r="F56" s="948"/>
      <c r="G56" s="948"/>
      <c r="H56" s="948"/>
      <c r="I56" s="948"/>
      <c r="J56" s="948"/>
      <c r="K56" s="948"/>
      <c r="L56" s="948"/>
      <c r="M56" s="948"/>
      <c r="N56" s="948"/>
      <c r="O56" s="948"/>
      <c r="P56" s="948"/>
      <c r="Q56" s="948"/>
      <c r="R56" s="948"/>
      <c r="S56" s="948"/>
      <c r="T56" s="948"/>
      <c r="U56" s="948"/>
      <c r="V56" s="948"/>
      <c r="W56" s="948"/>
      <c r="X56" s="948"/>
      <c r="Y56" s="948"/>
      <c r="Z56" s="948"/>
      <c r="AA56" s="948"/>
      <c r="AB56" s="948"/>
      <c r="AC56" s="948"/>
      <c r="AD56" s="948"/>
      <c r="AE56" s="948"/>
      <c r="AF56" s="948"/>
      <c r="AG56" s="170"/>
      <c r="AH56" s="1040"/>
      <c r="AI56" s="1040"/>
      <c r="AJ56" s="1040"/>
      <c r="AK56" s="1040"/>
      <c r="AL56" s="1040"/>
      <c r="AM56" s="1040"/>
      <c r="AN56" s="1040"/>
      <c r="AO56" s="1040"/>
      <c r="AP56" s="1040"/>
      <c r="AQ56" s="1040"/>
      <c r="AR56" s="1040"/>
      <c r="AS56" s="1040"/>
      <c r="AT56" s="1040"/>
      <c r="AU56" s="1040"/>
      <c r="AV56" s="1040"/>
      <c r="AW56" s="1040"/>
      <c r="AX56" s="1040"/>
      <c r="AY56" s="1040"/>
      <c r="AZ56" s="1040"/>
      <c r="BA56" s="1040"/>
      <c r="BB56" s="1040"/>
      <c r="BC56" s="1040"/>
      <c r="BD56" s="1040"/>
      <c r="BE56" s="1040"/>
      <c r="BF56" s="1040"/>
      <c r="BG56" s="1040"/>
      <c r="BH56" s="1040"/>
      <c r="BI56" s="1040"/>
      <c r="BJ56" s="1040"/>
      <c r="BK56" s="1040"/>
      <c r="BL56" s="1040"/>
      <c r="BM56" s="1040"/>
      <c r="BN56" s="1040"/>
      <c r="BO56" s="1040"/>
      <c r="BP56" s="1040"/>
      <c r="BQ56" s="1040"/>
      <c r="BR56" s="1040"/>
      <c r="BS56" s="1040"/>
      <c r="BT56" s="1040"/>
      <c r="BU56" s="1040"/>
      <c r="BV56" s="1040"/>
      <c r="BW56" s="1040"/>
      <c r="BX56" s="1040"/>
      <c r="BY56" s="1040"/>
      <c r="BZ56" s="1040"/>
      <c r="CA56" s="1040"/>
      <c r="CB56" s="1040"/>
      <c r="CC56" s="1040"/>
      <c r="CD56" s="1040"/>
      <c r="CE56" s="1040"/>
      <c r="CF56" s="1040"/>
    </row>
    <row r="57" spans="1:136" s="2" customFormat="1" ht="18" customHeight="1" x14ac:dyDescent="0.25">
      <c r="A57" s="948"/>
      <c r="B57" s="948"/>
      <c r="C57" s="948"/>
      <c r="D57" s="948"/>
      <c r="E57" s="948"/>
      <c r="F57" s="948"/>
      <c r="G57" s="948"/>
      <c r="H57" s="948"/>
      <c r="I57" s="948"/>
      <c r="J57" s="948"/>
      <c r="K57" s="948"/>
      <c r="L57" s="948"/>
      <c r="M57" s="948"/>
      <c r="N57" s="948"/>
      <c r="O57" s="948"/>
      <c r="P57" s="948"/>
      <c r="Q57" s="948"/>
      <c r="R57" s="948"/>
      <c r="S57" s="948"/>
      <c r="T57" s="948"/>
      <c r="U57" s="948"/>
      <c r="V57" s="948"/>
      <c r="W57" s="948"/>
      <c r="X57" s="948"/>
      <c r="Y57" s="948"/>
      <c r="Z57" s="948"/>
      <c r="AA57" s="948"/>
      <c r="AB57" s="948"/>
      <c r="AC57" s="948"/>
      <c r="AD57" s="948"/>
      <c r="AE57" s="948"/>
      <c r="AF57" s="948"/>
      <c r="AG57" s="170"/>
      <c r="AH57" s="1040"/>
      <c r="AI57" s="1040"/>
      <c r="AJ57" s="1040"/>
      <c r="AK57" s="1040"/>
      <c r="AL57" s="1040"/>
      <c r="AM57" s="1040"/>
      <c r="AN57" s="1040"/>
      <c r="AO57" s="1040"/>
      <c r="AP57" s="1040"/>
      <c r="AQ57" s="1040"/>
      <c r="AR57" s="1040"/>
      <c r="AS57" s="1040"/>
      <c r="AT57" s="1040"/>
      <c r="AU57" s="1040"/>
      <c r="AV57" s="1040"/>
      <c r="AW57" s="1040"/>
      <c r="AX57" s="1040"/>
      <c r="AY57" s="1040"/>
      <c r="AZ57" s="1040"/>
      <c r="BA57" s="1040"/>
      <c r="BB57" s="1040"/>
      <c r="BC57" s="1040"/>
      <c r="BD57" s="1040"/>
      <c r="BE57" s="1040"/>
      <c r="BF57" s="1040"/>
      <c r="BG57" s="1040"/>
      <c r="BH57" s="1040"/>
      <c r="BI57" s="1040"/>
      <c r="BJ57" s="1040"/>
      <c r="BK57" s="1040"/>
      <c r="BL57" s="1040"/>
      <c r="BM57" s="1040"/>
      <c r="BN57" s="1040"/>
      <c r="BO57" s="1040"/>
      <c r="BP57" s="1040"/>
      <c r="BQ57" s="1040"/>
      <c r="BR57" s="1040"/>
      <c r="BS57" s="1040"/>
      <c r="BT57" s="1040"/>
      <c r="BU57" s="1040"/>
      <c r="BV57" s="1040"/>
      <c r="BW57" s="1040"/>
      <c r="BX57" s="1040"/>
      <c r="BY57" s="1040"/>
      <c r="BZ57" s="1040"/>
      <c r="CA57" s="1040"/>
      <c r="CB57" s="1040"/>
      <c r="CC57" s="1040"/>
      <c r="CD57" s="1040"/>
      <c r="CE57" s="1040"/>
      <c r="CF57" s="1040"/>
    </row>
    <row r="58" spans="1:136" s="2" customFormat="1" ht="18" customHeight="1" x14ac:dyDescent="0.25">
      <c r="AG58" s="170"/>
      <c r="AH58" s="1040"/>
      <c r="AI58" s="1040"/>
      <c r="AJ58" s="1040"/>
      <c r="AK58" s="1040"/>
      <c r="AL58" s="1040"/>
      <c r="AM58" s="1040"/>
      <c r="AN58" s="1040"/>
      <c r="AO58" s="1040"/>
      <c r="AP58" s="1040"/>
      <c r="AQ58" s="1040"/>
      <c r="AR58" s="1040"/>
      <c r="AS58" s="1040"/>
      <c r="AT58" s="1040"/>
      <c r="AU58" s="1040"/>
      <c r="AV58" s="1040"/>
      <c r="AW58" s="1040"/>
      <c r="AX58" s="1040"/>
      <c r="AY58" s="1040"/>
      <c r="AZ58" s="1040"/>
      <c r="BA58" s="1040"/>
      <c r="BB58" s="1040"/>
      <c r="BC58" s="1040"/>
      <c r="BD58" s="1040"/>
      <c r="BE58" s="1040"/>
      <c r="BF58" s="1040"/>
      <c r="BG58" s="1040"/>
      <c r="BH58" s="1040"/>
      <c r="BI58" s="1040"/>
      <c r="BJ58" s="1040"/>
      <c r="BK58" s="1040"/>
      <c r="BL58" s="1040"/>
      <c r="BM58" s="1040"/>
      <c r="BN58" s="1040"/>
      <c r="BO58" s="1040"/>
      <c r="BP58" s="1040"/>
      <c r="BQ58" s="1040"/>
      <c r="BR58" s="1040"/>
      <c r="BS58" s="1040"/>
      <c r="BT58" s="1040"/>
      <c r="BU58" s="1040"/>
      <c r="BV58" s="1040"/>
      <c r="BW58" s="1040"/>
      <c r="BX58" s="1040"/>
      <c r="BY58" s="1040"/>
      <c r="BZ58" s="1040"/>
      <c r="CA58" s="1040"/>
      <c r="CB58" s="1040"/>
      <c r="CC58" s="1040"/>
      <c r="CD58" s="1040"/>
      <c r="CE58" s="1040"/>
      <c r="CF58" s="1040"/>
    </row>
    <row r="59" spans="1:136" s="2" customFormat="1" ht="18" customHeight="1" x14ac:dyDescent="0.25">
      <c r="AG59" s="170"/>
      <c r="AH59" s="1040"/>
      <c r="AI59" s="1040"/>
      <c r="AJ59" s="1040"/>
      <c r="AK59" s="1040"/>
      <c r="AL59" s="1040"/>
      <c r="AM59" s="1040"/>
      <c r="AN59" s="1040"/>
      <c r="AO59" s="1040"/>
      <c r="AP59" s="1040"/>
      <c r="AQ59" s="1040"/>
      <c r="AR59" s="1040"/>
      <c r="AS59" s="1040"/>
      <c r="AT59" s="1040"/>
      <c r="AU59" s="1040"/>
      <c r="AV59" s="1040"/>
      <c r="AW59" s="1040"/>
      <c r="AX59" s="1040"/>
      <c r="AY59" s="1040"/>
      <c r="AZ59" s="1040"/>
      <c r="BA59" s="1040"/>
      <c r="BB59" s="1040"/>
      <c r="BC59" s="1040"/>
      <c r="BD59" s="1040"/>
      <c r="BE59" s="1040"/>
      <c r="BF59" s="1040"/>
      <c r="BG59" s="1040"/>
      <c r="BH59" s="1040"/>
      <c r="BI59" s="1040"/>
      <c r="BJ59" s="1040"/>
      <c r="BK59" s="1040"/>
      <c r="BL59" s="1040"/>
      <c r="BM59" s="1040"/>
      <c r="BN59" s="1040"/>
      <c r="BO59" s="1040"/>
      <c r="BP59" s="1040"/>
      <c r="BQ59" s="1040"/>
      <c r="BR59" s="1040"/>
      <c r="BS59" s="1040"/>
      <c r="BT59" s="1040"/>
      <c r="BU59" s="1040"/>
      <c r="BV59" s="1040"/>
      <c r="BW59" s="1040"/>
      <c r="BX59" s="1040"/>
      <c r="BY59" s="1040"/>
      <c r="BZ59" s="1040"/>
      <c r="CA59" s="1040"/>
      <c r="CB59" s="1040"/>
      <c r="CC59" s="1040"/>
      <c r="CD59" s="1040"/>
      <c r="CE59" s="1040"/>
      <c r="CF59" s="1040"/>
    </row>
    <row r="60" spans="1:136" x14ac:dyDescent="0.25">
      <c r="AG60" s="170"/>
      <c r="AH60" s="1040"/>
      <c r="AI60" s="1040"/>
      <c r="AJ60" s="1040"/>
      <c r="AK60" s="1040"/>
      <c r="AL60" s="1040"/>
      <c r="AM60" s="1040"/>
      <c r="AN60" s="1040"/>
      <c r="AO60" s="1040"/>
      <c r="AP60" s="1040"/>
      <c r="AQ60" s="1040"/>
      <c r="AR60" s="1040"/>
      <c r="AS60" s="1040"/>
      <c r="AT60" s="1040"/>
      <c r="AU60" s="1040"/>
      <c r="AV60" s="1040"/>
      <c r="AW60" s="1040"/>
      <c r="AX60" s="1040"/>
      <c r="AY60" s="1040"/>
      <c r="AZ60" s="1040"/>
      <c r="BA60" s="1040"/>
      <c r="BB60" s="1040"/>
      <c r="BC60" s="1040"/>
      <c r="BD60" s="1040"/>
      <c r="BE60" s="1040"/>
      <c r="BF60" s="1040"/>
      <c r="BG60" s="1040"/>
      <c r="BH60" s="1040"/>
      <c r="BI60" s="1040"/>
      <c r="BJ60" s="1040"/>
      <c r="BK60" s="1040"/>
      <c r="BL60" s="1040"/>
      <c r="BM60" s="1040"/>
      <c r="BN60" s="1040"/>
      <c r="BO60" s="1040"/>
      <c r="BP60" s="1040"/>
      <c r="BQ60" s="1040"/>
      <c r="BR60" s="1040"/>
      <c r="BS60" s="1040"/>
      <c r="BT60" s="1040"/>
      <c r="BU60" s="1040"/>
      <c r="BV60" s="1040"/>
      <c r="BW60" s="1040"/>
      <c r="BX60" s="1040"/>
      <c r="BY60" s="1040"/>
      <c r="BZ60" s="1040"/>
      <c r="CA60" s="1040"/>
      <c r="CB60" s="1040"/>
      <c r="CC60" s="1040"/>
      <c r="CD60" s="1040"/>
      <c r="CE60" s="1040"/>
      <c r="CF60" s="1040"/>
    </row>
    <row r="61" spans="1:136" x14ac:dyDescent="0.25">
      <c r="AG61" s="170"/>
      <c r="AH61" s="1040"/>
      <c r="AI61" s="1040"/>
      <c r="AJ61" s="1040"/>
      <c r="AK61" s="1040"/>
      <c r="AL61" s="1040"/>
      <c r="AM61" s="1040"/>
      <c r="AN61" s="1040"/>
      <c r="AO61" s="1040"/>
      <c r="AP61" s="1040"/>
      <c r="AQ61" s="1040"/>
      <c r="AR61" s="1040"/>
      <c r="AS61" s="1040"/>
      <c r="AT61" s="1040"/>
      <c r="AU61" s="1040"/>
      <c r="AV61" s="1040"/>
      <c r="AW61" s="1040"/>
      <c r="AX61" s="1040"/>
      <c r="AY61" s="1040"/>
      <c r="AZ61" s="1040"/>
      <c r="BA61" s="1040"/>
      <c r="BB61" s="1040"/>
      <c r="BC61" s="1040"/>
      <c r="BD61" s="1040"/>
      <c r="BE61" s="1040"/>
      <c r="BF61" s="1040"/>
      <c r="BG61" s="1040"/>
      <c r="BH61" s="1040"/>
      <c r="BI61" s="1040"/>
      <c r="BJ61" s="1040"/>
      <c r="BK61" s="1040"/>
      <c r="BL61" s="1040"/>
      <c r="BM61" s="1040"/>
      <c r="BN61" s="1040"/>
      <c r="BO61" s="1040"/>
      <c r="BP61" s="1040"/>
      <c r="BQ61" s="1040"/>
      <c r="BR61" s="1040"/>
      <c r="BS61" s="1040"/>
      <c r="BT61" s="1040"/>
      <c r="BU61" s="1040"/>
      <c r="BV61" s="1040"/>
      <c r="BW61" s="1040"/>
      <c r="BX61" s="1040"/>
      <c r="BY61" s="1040"/>
      <c r="BZ61" s="1040"/>
      <c r="CA61" s="1040"/>
      <c r="CB61" s="1040"/>
      <c r="CC61" s="1040"/>
      <c r="CD61" s="1040"/>
      <c r="CE61" s="1040"/>
      <c r="CF61" s="1040"/>
    </row>
    <row r="62" spans="1:136" x14ac:dyDescent="0.25">
      <c r="AG62" s="170"/>
    </row>
    <row r="63" spans="1:136" x14ac:dyDescent="0.25">
      <c r="AG63" s="170"/>
    </row>
    <row r="64" spans="1:136" x14ac:dyDescent="0.25">
      <c r="AG64" s="170"/>
    </row>
    <row r="65" spans="33:33" x14ac:dyDescent="0.25">
      <c r="AG65" s="170"/>
    </row>
    <row r="66" spans="33:33" x14ac:dyDescent="0.25">
      <c r="AG66" s="170"/>
    </row>
    <row r="67" spans="33:33" x14ac:dyDescent="0.25">
      <c r="AG67" s="170"/>
    </row>
    <row r="68" spans="33:33" x14ac:dyDescent="0.25">
      <c r="AG68" s="170"/>
    </row>
    <row r="69" spans="33:33" x14ac:dyDescent="0.25">
      <c r="AG69" s="170"/>
    </row>
    <row r="70" spans="33:33" x14ac:dyDescent="0.25">
      <c r="AG70" s="170"/>
    </row>
    <row r="71" spans="33:33" x14ac:dyDescent="0.25">
      <c r="AG71" s="170"/>
    </row>
    <row r="72" spans="33:33" x14ac:dyDescent="0.25">
      <c r="AG72" s="170"/>
    </row>
    <row r="73" spans="33:33" x14ac:dyDescent="0.25">
      <c r="AG73" s="170"/>
    </row>
    <row r="74" spans="33:33" x14ac:dyDescent="0.25">
      <c r="AG74" s="170"/>
    </row>
    <row r="75" spans="33:33" x14ac:dyDescent="0.25">
      <c r="AG75" s="170"/>
    </row>
    <row r="76" spans="33:33" x14ac:dyDescent="0.25">
      <c r="AG76" s="170"/>
    </row>
    <row r="77" spans="33:33" x14ac:dyDescent="0.25">
      <c r="AG77" s="170"/>
    </row>
    <row r="78" spans="33:33" x14ac:dyDescent="0.25">
      <c r="AG78" s="170"/>
    </row>
    <row r="79" spans="33:33" x14ac:dyDescent="0.25">
      <c r="AG79" s="170"/>
    </row>
    <row r="80" spans="33:33" x14ac:dyDescent="0.25">
      <c r="AG80" s="170"/>
    </row>
    <row r="81" spans="1:33" x14ac:dyDescent="0.25">
      <c r="AG81" s="170"/>
    </row>
    <row r="82" spans="1:33" x14ac:dyDescent="0.25">
      <c r="AG82" s="170"/>
    </row>
    <row r="83" spans="1:33" x14ac:dyDescent="0.25">
      <c r="AG83" s="170"/>
    </row>
    <row r="84" spans="1:33" x14ac:dyDescent="0.25">
      <c r="A84" s="930"/>
      <c r="B84" s="930"/>
      <c r="C84" s="930"/>
      <c r="D84" s="930"/>
      <c r="E84" s="930"/>
      <c r="F84" s="930"/>
      <c r="G84" s="930"/>
      <c r="H84" s="930"/>
      <c r="I84" s="930"/>
      <c r="J84" s="930"/>
      <c r="K84" s="930"/>
      <c r="L84" s="930"/>
      <c r="M84" s="930"/>
      <c r="N84" s="930"/>
      <c r="O84" s="930"/>
      <c r="P84" s="930"/>
      <c r="Q84" s="930"/>
      <c r="R84" s="930"/>
      <c r="S84" s="930"/>
      <c r="T84" s="930"/>
      <c r="U84" s="930"/>
      <c r="V84" s="930"/>
      <c r="W84" s="930"/>
      <c r="X84" s="930"/>
      <c r="Y84" s="930"/>
      <c r="Z84" s="930"/>
      <c r="AA84" s="930"/>
      <c r="AB84" s="930"/>
      <c r="AC84" s="930"/>
      <c r="AD84" s="930"/>
      <c r="AE84" s="930"/>
      <c r="AF84" s="930"/>
      <c r="AG84" s="930"/>
    </row>
  </sheetData>
  <sheetProtection algorithmName="SHA-512" hashValue="w+LcmG3SEJkgpvjPw6fYYEuzvqsRUIx8KceinVHqWm2iKmePb0H0YC2BWyxtJAb8ApoU4vqy9nYa5TbT/BxHsA==" saltValue="LnARUkG11fzm6JnGw3LmSA==" spinCount="100000" sheet="1" selectLockedCells="1"/>
  <mergeCells count="582">
    <mergeCell ref="CC20:CE20"/>
    <mergeCell ref="CF20:CM20"/>
    <mergeCell ref="CN20:CP20"/>
    <mergeCell ref="CQ20:CT20"/>
    <mergeCell ref="CU20:CW20"/>
    <mergeCell ref="CX20:CZ20"/>
    <mergeCell ref="DA20:DB20"/>
    <mergeCell ref="BR19:BU19"/>
    <mergeCell ref="AH20:AV20"/>
    <mergeCell ref="AW20:AY20"/>
    <mergeCell ref="AZ20:BA20"/>
    <mergeCell ref="BB20:BE20"/>
    <mergeCell ref="BF20:BI20"/>
    <mergeCell ref="BN20:BQ20"/>
    <mergeCell ref="BR20:BU20"/>
    <mergeCell ref="BV20:CB20"/>
    <mergeCell ref="AH51:CF61"/>
    <mergeCell ref="M25:V25"/>
    <mergeCell ref="M30:V30"/>
    <mergeCell ref="M29:V29"/>
    <mergeCell ref="M28:V28"/>
    <mergeCell ref="M27:V27"/>
    <mergeCell ref="M26:V26"/>
    <mergeCell ref="BA45:BD45"/>
    <mergeCell ref="BE45:BH45"/>
    <mergeCell ref="AH42:AV42"/>
    <mergeCell ref="AW42:AX42"/>
    <mergeCell ref="AY42:AZ42"/>
    <mergeCell ref="BA42:BD42"/>
    <mergeCell ref="BE42:BH42"/>
    <mergeCell ref="AH43:AV43"/>
    <mergeCell ref="AW43:AX43"/>
    <mergeCell ref="AY43:AZ43"/>
    <mergeCell ref="AH36:AV36"/>
    <mergeCell ref="AW36:AX36"/>
    <mergeCell ref="AH41:AV41"/>
    <mergeCell ref="AW41:AX41"/>
    <mergeCell ref="AY41:AZ41"/>
    <mergeCell ref="BA41:BD41"/>
    <mergeCell ref="BE41:BH41"/>
    <mergeCell ref="DE11:DF11"/>
    <mergeCell ref="CV18:CX18"/>
    <mergeCell ref="BN23:BQ23"/>
    <mergeCell ref="BR23:BU23"/>
    <mergeCell ref="CC23:CE23"/>
    <mergeCell ref="DC21:DE21"/>
    <mergeCell ref="DA21:DB21"/>
    <mergeCell ref="CX21:CZ21"/>
    <mergeCell ref="CU21:CW21"/>
    <mergeCell ref="CQ21:CT21"/>
    <mergeCell ref="CN21:CP21"/>
    <mergeCell ref="CF21:CM21"/>
    <mergeCell ref="CQ23:CT23"/>
    <mergeCell ref="BV11:BX11"/>
    <mergeCell ref="DC22:DE22"/>
    <mergeCell ref="CU22:CW22"/>
    <mergeCell ref="CX22:CZ22"/>
    <mergeCell ref="DA22:DB22"/>
    <mergeCell ref="DC20:DE20"/>
    <mergeCell ref="CN19:CP19"/>
    <mergeCell ref="CQ19:CT19"/>
    <mergeCell ref="CU19:CW19"/>
    <mergeCell ref="CX19:CZ19"/>
    <mergeCell ref="DA19:DB19"/>
    <mergeCell ref="DI9:DL9"/>
    <mergeCell ref="AW8:AY8"/>
    <mergeCell ref="AZ8:BA8"/>
    <mergeCell ref="AH9:AV9"/>
    <mergeCell ref="AW9:AY9"/>
    <mergeCell ref="AZ9:BA9"/>
    <mergeCell ref="BB9:BE9"/>
    <mergeCell ref="BF9:BI9"/>
    <mergeCell ref="BJ9:BM9"/>
    <mergeCell ref="BN9:BQ9"/>
    <mergeCell ref="BR9:BU9"/>
    <mergeCell ref="BV9:BX9"/>
    <mergeCell ref="DI8:DL8"/>
    <mergeCell ref="BY8:CB8"/>
    <mergeCell ref="BB8:BE8"/>
    <mergeCell ref="BF8:BI8"/>
    <mergeCell ref="BJ8:BM8"/>
    <mergeCell ref="BN8:BQ8"/>
    <mergeCell ref="BR8:BU8"/>
    <mergeCell ref="DE8:DH8"/>
    <mergeCell ref="CF8:CJ8"/>
    <mergeCell ref="CK8:CP8"/>
    <mergeCell ref="CQ8:CS8"/>
    <mergeCell ref="DE9:DH9"/>
    <mergeCell ref="DC14:DD14"/>
    <mergeCell ref="CC12:CE12"/>
    <mergeCell ref="BV12:BX12"/>
    <mergeCell ref="BV19:CB19"/>
    <mergeCell ref="CC19:CE19"/>
    <mergeCell ref="CN17:CP17"/>
    <mergeCell ref="CF18:CM18"/>
    <mergeCell ref="CF16:CP16"/>
    <mergeCell ref="CC17:CE17"/>
    <mergeCell ref="CC16:CE16"/>
    <mergeCell ref="BV17:CB17"/>
    <mergeCell ref="DC19:DE19"/>
    <mergeCell ref="CQ24:CT24"/>
    <mergeCell ref="CF23:CM23"/>
    <mergeCell ref="CN23:CP23"/>
    <mergeCell ref="CN24:CP24"/>
    <mergeCell ref="CF24:CM24"/>
    <mergeCell ref="BN16:BQ16"/>
    <mergeCell ref="BN15:BQ15"/>
    <mergeCell ref="BJ14:BM14"/>
    <mergeCell ref="BJ13:BM13"/>
    <mergeCell ref="CF22:CM22"/>
    <mergeCell ref="CN22:CP22"/>
    <mergeCell ref="CQ22:CT22"/>
    <mergeCell ref="CC18:CE18"/>
    <mergeCell ref="CQ17:CR17"/>
    <mergeCell ref="CN18:CP18"/>
    <mergeCell ref="CQ18:CS18"/>
    <mergeCell ref="CF17:CM17"/>
    <mergeCell ref="CC15:CE15"/>
    <mergeCell ref="BV15:CB15"/>
    <mergeCell ref="BY14:CB14"/>
    <mergeCell ref="BR16:BU16"/>
    <mergeCell ref="BR15:BU15"/>
    <mergeCell ref="BR13:BU13"/>
    <mergeCell ref="CF19:CM19"/>
    <mergeCell ref="DC4:DD4"/>
    <mergeCell ref="DE4:DH4"/>
    <mergeCell ref="DI4:DL4"/>
    <mergeCell ref="DJ3:DL3"/>
    <mergeCell ref="DC3:DH3"/>
    <mergeCell ref="CW3:DA3"/>
    <mergeCell ref="CP3:CU3"/>
    <mergeCell ref="CK4:CP4"/>
    <mergeCell ref="CT8:CY8"/>
    <mergeCell ref="CZ8:DB8"/>
    <mergeCell ref="CK7:CP7"/>
    <mergeCell ref="DE7:DH7"/>
    <mergeCell ref="DI7:DL7"/>
    <mergeCell ref="CQ7:CS7"/>
    <mergeCell ref="CT7:CY7"/>
    <mergeCell ref="CZ7:DB7"/>
    <mergeCell ref="DC7:DD7"/>
    <mergeCell ref="DC5:DD5"/>
    <mergeCell ref="DE5:DH5"/>
    <mergeCell ref="DI5:DL5"/>
    <mergeCell ref="CQ6:CS6"/>
    <mergeCell ref="CT6:CY6"/>
    <mergeCell ref="CZ6:DB6"/>
    <mergeCell ref="DC6:DD6"/>
    <mergeCell ref="DE6:DH6"/>
    <mergeCell ref="DI6:DL6"/>
    <mergeCell ref="AH48:AV48"/>
    <mergeCell ref="AW48:AX48"/>
    <mergeCell ref="AY48:AZ48"/>
    <mergeCell ref="BA48:BD48"/>
    <mergeCell ref="BE48:BH48"/>
    <mergeCell ref="AH46:AV46"/>
    <mergeCell ref="AW46:AX46"/>
    <mergeCell ref="AY46:AZ46"/>
    <mergeCell ref="BA46:BD46"/>
    <mergeCell ref="BE46:BH46"/>
    <mergeCell ref="AH47:AV47"/>
    <mergeCell ref="AW47:AX47"/>
    <mergeCell ref="AY47:AZ47"/>
    <mergeCell ref="BA47:BD47"/>
    <mergeCell ref="BE47:BH47"/>
    <mergeCell ref="AH44:AV44"/>
    <mergeCell ref="AW44:AX44"/>
    <mergeCell ref="AY44:AZ44"/>
    <mergeCell ref="BA44:BD44"/>
    <mergeCell ref="BE44:BH44"/>
    <mergeCell ref="AH45:AV45"/>
    <mergeCell ref="AW45:AX45"/>
    <mergeCell ref="AH39:AV39"/>
    <mergeCell ref="AW39:AX39"/>
    <mergeCell ref="AY39:AZ39"/>
    <mergeCell ref="BA39:BD39"/>
    <mergeCell ref="BE39:BH39"/>
    <mergeCell ref="AH40:AV40"/>
    <mergeCell ref="AW40:AX40"/>
    <mergeCell ref="AY40:AZ40"/>
    <mergeCell ref="AH34:AV34"/>
    <mergeCell ref="AW34:AX34"/>
    <mergeCell ref="AY34:AZ34"/>
    <mergeCell ref="BA34:BD34"/>
    <mergeCell ref="BE34:BH34"/>
    <mergeCell ref="AH35:AV35"/>
    <mergeCell ref="AW35:AX35"/>
    <mergeCell ref="AY35:AZ35"/>
    <mergeCell ref="BA35:BD35"/>
    <mergeCell ref="BE35:BH35"/>
    <mergeCell ref="AH32:AV32"/>
    <mergeCell ref="AW32:AX32"/>
    <mergeCell ref="AY32:AZ32"/>
    <mergeCell ref="BA32:BD32"/>
    <mergeCell ref="BE32:BH32"/>
    <mergeCell ref="AH33:AV33"/>
    <mergeCell ref="AW33:AX33"/>
    <mergeCell ref="AY33:AZ33"/>
    <mergeCell ref="BA33:BD33"/>
    <mergeCell ref="BE33:BH33"/>
    <mergeCell ref="AH28:AV28"/>
    <mergeCell ref="AH29:AV29"/>
    <mergeCell ref="AW29:AX29"/>
    <mergeCell ref="AY29:AZ29"/>
    <mergeCell ref="BA29:BD29"/>
    <mergeCell ref="BE28:BH28"/>
    <mergeCell ref="AH31:AV31"/>
    <mergeCell ref="AW31:AX31"/>
    <mergeCell ref="AY31:AZ31"/>
    <mergeCell ref="BA31:BD31"/>
    <mergeCell ref="BE31:BH31"/>
    <mergeCell ref="AH30:AV30"/>
    <mergeCell ref="CC7:CE7"/>
    <mergeCell ref="CQ5:CS5"/>
    <mergeCell ref="CK11:CP11"/>
    <mergeCell ref="CC11:CE11"/>
    <mergeCell ref="CQ11:DD11"/>
    <mergeCell ref="DC8:DD8"/>
    <mergeCell ref="CQ9:CS9"/>
    <mergeCell ref="CT9:CY9"/>
    <mergeCell ref="CZ9:DB9"/>
    <mergeCell ref="DC9:DD9"/>
    <mergeCell ref="CT5:CY5"/>
    <mergeCell ref="CZ5:DB5"/>
    <mergeCell ref="CF7:CJ7"/>
    <mergeCell ref="CF6:CJ6"/>
    <mergeCell ref="CK10:CP10"/>
    <mergeCell ref="CC9:CE9"/>
    <mergeCell ref="CF9:CJ9"/>
    <mergeCell ref="CK9:CP9"/>
    <mergeCell ref="CC8:CE8"/>
    <mergeCell ref="BY4:CB4"/>
    <mergeCell ref="BV3:BX3"/>
    <mergeCell ref="BR14:BU14"/>
    <mergeCell ref="CK14:CP14"/>
    <mergeCell ref="CC14:CE14"/>
    <mergeCell ref="BV14:BX14"/>
    <mergeCell ref="CK13:CP13"/>
    <mergeCell ref="CC13:CE13"/>
    <mergeCell ref="BV13:BX13"/>
    <mergeCell ref="BV5:BX5"/>
    <mergeCell ref="BR5:BU5"/>
    <mergeCell ref="CK5:CP5"/>
    <mergeCell ref="CC5:CE5"/>
    <mergeCell ref="CK6:CP6"/>
    <mergeCell ref="CC6:CE6"/>
    <mergeCell ref="CC10:CE10"/>
    <mergeCell ref="BV10:BX10"/>
    <mergeCell ref="CF14:CJ14"/>
    <mergeCell ref="CF13:CJ13"/>
    <mergeCell ref="CF12:CJ12"/>
    <mergeCell ref="CF11:CJ11"/>
    <mergeCell ref="CF10:CJ10"/>
    <mergeCell ref="CK12:CP12"/>
    <mergeCell ref="CF5:CJ5"/>
    <mergeCell ref="CT4:CY4"/>
    <mergeCell ref="CZ4:DB4"/>
    <mergeCell ref="CC3:CE3"/>
    <mergeCell ref="CC4:CE4"/>
    <mergeCell ref="BV4:BX4"/>
    <mergeCell ref="BN22:BQ22"/>
    <mergeCell ref="BR22:BU22"/>
    <mergeCell ref="BV22:CB22"/>
    <mergeCell ref="CC22:CE22"/>
    <mergeCell ref="BV8:BX8"/>
    <mergeCell ref="CF15:CP15"/>
    <mergeCell ref="CQ4:CS4"/>
    <mergeCell ref="CQ14:DB14"/>
    <mergeCell ref="BR4:BU4"/>
    <mergeCell ref="BR3:BU3"/>
    <mergeCell ref="CF4:CJ4"/>
    <mergeCell ref="CF3:CJ3"/>
    <mergeCell ref="BY13:CB13"/>
    <mergeCell ref="BY12:CB12"/>
    <mergeCell ref="BY11:CB11"/>
    <mergeCell ref="BY10:CB10"/>
    <mergeCell ref="BY7:CB7"/>
    <mergeCell ref="BY6:CB6"/>
    <mergeCell ref="BY5:CB5"/>
    <mergeCell ref="BB17:BE17"/>
    <mergeCell ref="BN17:BQ17"/>
    <mergeCell ref="BR17:BU17"/>
    <mergeCell ref="CC21:CE21"/>
    <mergeCell ref="BV21:CB21"/>
    <mergeCell ref="BR21:BU21"/>
    <mergeCell ref="BN21:BQ21"/>
    <mergeCell ref="BV23:CB23"/>
    <mergeCell ref="CC24:CE24"/>
    <mergeCell ref="BV24:CB24"/>
    <mergeCell ref="BR24:BU24"/>
    <mergeCell ref="BN24:BQ24"/>
    <mergeCell ref="BF21:BI21"/>
    <mergeCell ref="BB21:BE21"/>
    <mergeCell ref="BF24:BI24"/>
    <mergeCell ref="BB24:BE24"/>
    <mergeCell ref="BV18:CB18"/>
    <mergeCell ref="BJ20:BM20"/>
    <mergeCell ref="BJ19:BM19"/>
    <mergeCell ref="BF22:BI22"/>
    <mergeCell ref="BJ24:BM24"/>
    <mergeCell ref="BJ23:BM23"/>
    <mergeCell ref="BJ22:BM22"/>
    <mergeCell ref="BJ21:BM21"/>
    <mergeCell ref="BJ3:BM3"/>
    <mergeCell ref="AR15:AV15"/>
    <mergeCell ref="BV16:CB16"/>
    <mergeCell ref="BR18:BU18"/>
    <mergeCell ref="BJ16:BM16"/>
    <mergeCell ref="BV7:BX7"/>
    <mergeCell ref="BV6:BX6"/>
    <mergeCell ref="AH14:AV14"/>
    <mergeCell ref="AW3:AY3"/>
    <mergeCell ref="AZ3:BA3"/>
    <mergeCell ref="BY3:CB3"/>
    <mergeCell ref="BR11:BU11"/>
    <mergeCell ref="BR10:BU10"/>
    <mergeCell ref="BR7:BU7"/>
    <mergeCell ref="BR6:BU6"/>
    <mergeCell ref="BN3:BQ3"/>
    <mergeCell ref="AW17:AY17"/>
    <mergeCell ref="AZ17:BA17"/>
    <mergeCell ref="AZ18:BA18"/>
    <mergeCell ref="BR12:BU12"/>
    <mergeCell ref="BN14:BQ14"/>
    <mergeCell ref="BN13:BQ13"/>
    <mergeCell ref="BF14:BI14"/>
    <mergeCell ref="BF16:BI16"/>
    <mergeCell ref="BB16:BE16"/>
    <mergeCell ref="AZ16:BA16"/>
    <mergeCell ref="BB18:BE18"/>
    <mergeCell ref="BB23:BE23"/>
    <mergeCell ref="AE19:AG19"/>
    <mergeCell ref="AE21:AG21"/>
    <mergeCell ref="AW16:AY16"/>
    <mergeCell ref="BN18:BQ18"/>
    <mergeCell ref="AR17:AV17"/>
    <mergeCell ref="AR16:AV16"/>
    <mergeCell ref="AR18:AV18"/>
    <mergeCell ref="BF23:BI23"/>
    <mergeCell ref="AH23:AV23"/>
    <mergeCell ref="AH21:AV21"/>
    <mergeCell ref="AH19:AV19"/>
    <mergeCell ref="AW19:AY19"/>
    <mergeCell ref="AZ19:BA19"/>
    <mergeCell ref="BB19:BE19"/>
    <mergeCell ref="BF19:BI19"/>
    <mergeCell ref="BN19:BQ19"/>
    <mergeCell ref="AW21:AY21"/>
    <mergeCell ref="BB22:BE22"/>
    <mergeCell ref="BJ17:BM17"/>
    <mergeCell ref="BF17:BI17"/>
    <mergeCell ref="R17:V17"/>
    <mergeCell ref="W7:AA7"/>
    <mergeCell ref="W6:AA6"/>
    <mergeCell ref="R7:V7"/>
    <mergeCell ref="R6:V6"/>
    <mergeCell ref="R15:V15"/>
    <mergeCell ref="R14:V14"/>
    <mergeCell ref="R13:V13"/>
    <mergeCell ref="R12:V12"/>
    <mergeCell ref="W16:AF16"/>
    <mergeCell ref="AB6:AF6"/>
    <mergeCell ref="AB7:AF7"/>
    <mergeCell ref="W13:AF13"/>
    <mergeCell ref="W12:AF12"/>
    <mergeCell ref="AH11:AV11"/>
    <mergeCell ref="AH13:AV13"/>
    <mergeCell ref="AH12:AV12"/>
    <mergeCell ref="AH10:AV10"/>
    <mergeCell ref="AH8:AV8"/>
    <mergeCell ref="AH7:AV7"/>
    <mergeCell ref="D2:L2"/>
    <mergeCell ref="AR2:AV2"/>
    <mergeCell ref="AH2:AQ2"/>
    <mergeCell ref="AH5:AV5"/>
    <mergeCell ref="AH4:AV4"/>
    <mergeCell ref="V3:X3"/>
    <mergeCell ref="D3:L3"/>
    <mergeCell ref="R5:V5"/>
    <mergeCell ref="W5:AA5"/>
    <mergeCell ref="M3:T3"/>
    <mergeCell ref="AB5:AF5"/>
    <mergeCell ref="A4:D4"/>
    <mergeCell ref="E4:F4"/>
    <mergeCell ref="A12:E12"/>
    <mergeCell ref="A13:E13"/>
    <mergeCell ref="F13:O13"/>
    <mergeCell ref="F12:O12"/>
    <mergeCell ref="A7:E7"/>
    <mergeCell ref="BB2:BE2"/>
    <mergeCell ref="BF2:BI2"/>
    <mergeCell ref="BB6:BE6"/>
    <mergeCell ref="AW6:AY6"/>
    <mergeCell ref="AZ6:BA6"/>
    <mergeCell ref="AH6:AV6"/>
    <mergeCell ref="AW2:AY2"/>
    <mergeCell ref="AZ2:BA2"/>
    <mergeCell ref="AZ4:BA4"/>
    <mergeCell ref="AZ5:BA5"/>
    <mergeCell ref="AW4:AY4"/>
    <mergeCell ref="AW5:AY5"/>
    <mergeCell ref="BB3:BE3"/>
    <mergeCell ref="BF3:BI3"/>
    <mergeCell ref="BJ11:BM11"/>
    <mergeCell ref="BN12:BQ12"/>
    <mergeCell ref="BJ15:BM15"/>
    <mergeCell ref="BF15:BI15"/>
    <mergeCell ref="BB15:BE15"/>
    <mergeCell ref="AZ15:BA15"/>
    <mergeCell ref="BJ12:BM12"/>
    <mergeCell ref="BF12:BI12"/>
    <mergeCell ref="BB12:BE12"/>
    <mergeCell ref="AZ12:BA12"/>
    <mergeCell ref="AZ13:BA13"/>
    <mergeCell ref="BB14:BE14"/>
    <mergeCell ref="A6:E6"/>
    <mergeCell ref="F6:Q6"/>
    <mergeCell ref="F7:Q7"/>
    <mergeCell ref="W15:AF15"/>
    <mergeCell ref="W14:AF14"/>
    <mergeCell ref="F14:O14"/>
    <mergeCell ref="BN2:BQ2"/>
    <mergeCell ref="AH3:AV3"/>
    <mergeCell ref="BJ1:BM2"/>
    <mergeCell ref="AT1:AV1"/>
    <mergeCell ref="BN4:BQ4"/>
    <mergeCell ref="BJ4:BM4"/>
    <mergeCell ref="BN11:BQ11"/>
    <mergeCell ref="BN10:BQ10"/>
    <mergeCell ref="BF4:BI4"/>
    <mergeCell ref="BB4:BE4"/>
    <mergeCell ref="BB5:BE5"/>
    <mergeCell ref="BN7:BQ7"/>
    <mergeCell ref="BN6:BQ6"/>
    <mergeCell ref="BF11:BI11"/>
    <mergeCell ref="BB11:BE11"/>
    <mergeCell ref="AZ11:BA11"/>
    <mergeCell ref="AW11:AY11"/>
    <mergeCell ref="AZ14:BA14"/>
    <mergeCell ref="BJ7:BM7"/>
    <mergeCell ref="BF7:BI7"/>
    <mergeCell ref="BB7:BE7"/>
    <mergeCell ref="BN5:BQ5"/>
    <mergeCell ref="AZ7:BA7"/>
    <mergeCell ref="BY9:CB9"/>
    <mergeCell ref="BF1:BI1"/>
    <mergeCell ref="AH27:AV27"/>
    <mergeCell ref="AH24:AV24"/>
    <mergeCell ref="BA27:BD27"/>
    <mergeCell ref="BF13:BI13"/>
    <mergeCell ref="BB13:BE13"/>
    <mergeCell ref="BJ5:BM5"/>
    <mergeCell ref="BF5:BI5"/>
    <mergeCell ref="BF10:BI10"/>
    <mergeCell ref="BB10:BE10"/>
    <mergeCell ref="BJ10:BM10"/>
    <mergeCell ref="BJ6:BM6"/>
    <mergeCell ref="BF6:BI6"/>
    <mergeCell ref="BJ18:BM18"/>
    <mergeCell ref="BF18:BI18"/>
    <mergeCell ref="AW23:AY23"/>
    <mergeCell ref="AH22:AV22"/>
    <mergeCell ref="AY27:AZ27"/>
    <mergeCell ref="BA49:BD49"/>
    <mergeCell ref="AX49:AZ49"/>
    <mergeCell ref="AX37:AZ37"/>
    <mergeCell ref="BA37:BD37"/>
    <mergeCell ref="AW27:AX27"/>
    <mergeCell ref="BE29:BH29"/>
    <mergeCell ref="AY45:AZ45"/>
    <mergeCell ref="AW30:AX30"/>
    <mergeCell ref="AY30:AZ30"/>
    <mergeCell ref="BA30:BD30"/>
    <mergeCell ref="BE30:BH30"/>
    <mergeCell ref="BA28:BD28"/>
    <mergeCell ref="AY28:AZ28"/>
    <mergeCell ref="AW28:AX28"/>
    <mergeCell ref="AY36:AZ36"/>
    <mergeCell ref="BA36:BD36"/>
    <mergeCell ref="BE36:BH36"/>
    <mergeCell ref="BA40:BD40"/>
    <mergeCell ref="BE40:BH40"/>
    <mergeCell ref="BE27:BH27"/>
    <mergeCell ref="BA43:BD43"/>
    <mergeCell ref="BE43:BH43"/>
    <mergeCell ref="AW7:AY7"/>
    <mergeCell ref="AW14:AY14"/>
    <mergeCell ref="AW13:AY13"/>
    <mergeCell ref="AZ10:BA10"/>
    <mergeCell ref="AW10:AY10"/>
    <mergeCell ref="AW15:AY15"/>
    <mergeCell ref="AW18:AY18"/>
    <mergeCell ref="AZ24:BA24"/>
    <mergeCell ref="AW24:AY24"/>
    <mergeCell ref="AZ23:BA23"/>
    <mergeCell ref="AZ21:BA21"/>
    <mergeCell ref="AW22:AY22"/>
    <mergeCell ref="AZ22:BA22"/>
    <mergeCell ref="AW12:AY12"/>
    <mergeCell ref="A49:AF49"/>
    <mergeCell ref="A41:B41"/>
    <mergeCell ref="A39:L39"/>
    <mergeCell ref="A38:L38"/>
    <mergeCell ref="A37:L37"/>
    <mergeCell ref="A36:L36"/>
    <mergeCell ref="A40:J40"/>
    <mergeCell ref="A45:G45"/>
    <mergeCell ref="H45:L45"/>
    <mergeCell ref="A42:B42"/>
    <mergeCell ref="M36:P36"/>
    <mergeCell ref="M38:P38"/>
    <mergeCell ref="M37:P37"/>
    <mergeCell ref="M35:P35"/>
    <mergeCell ref="A17:E17"/>
    <mergeCell ref="R16:V16"/>
    <mergeCell ref="F16:O16"/>
    <mergeCell ref="F15:O15"/>
    <mergeCell ref="A16:E16"/>
    <mergeCell ref="A15:E15"/>
    <mergeCell ref="A18:AF18"/>
    <mergeCell ref="A24:L24"/>
    <mergeCell ref="A23:L23"/>
    <mergeCell ref="A22:L22"/>
    <mergeCell ref="M24:V24"/>
    <mergeCell ref="M23:V23"/>
    <mergeCell ref="M22:V22"/>
    <mergeCell ref="A19:AD19"/>
    <mergeCell ref="M34:P34"/>
    <mergeCell ref="M33:P33"/>
    <mergeCell ref="A34:L34"/>
    <mergeCell ref="A27:L27"/>
    <mergeCell ref="A30:L30"/>
    <mergeCell ref="A29:L29"/>
    <mergeCell ref="A28:L28"/>
    <mergeCell ref="A26:L26"/>
    <mergeCell ref="A25:L25"/>
    <mergeCell ref="A14:E14"/>
    <mergeCell ref="W17:AF17"/>
    <mergeCell ref="X21:AA21"/>
    <mergeCell ref="F17:O17"/>
    <mergeCell ref="AH50:BH50"/>
    <mergeCell ref="A84:AG84"/>
    <mergeCell ref="N1:P1"/>
    <mergeCell ref="A48:AF48"/>
    <mergeCell ref="A50:AF52"/>
    <mergeCell ref="A53:AF53"/>
    <mergeCell ref="A54:AF54"/>
    <mergeCell ref="A55:AF57"/>
    <mergeCell ref="A43:B43"/>
    <mergeCell ref="C43:J43"/>
    <mergeCell ref="A46:G46"/>
    <mergeCell ref="A47:G47"/>
    <mergeCell ref="H47:L47"/>
    <mergeCell ref="H46:L46"/>
    <mergeCell ref="Q33:AF39"/>
    <mergeCell ref="A32:AF32"/>
    <mergeCell ref="A35:L35"/>
    <mergeCell ref="A33:L33"/>
    <mergeCell ref="A31:AG31"/>
    <mergeCell ref="M39:P39"/>
    <mergeCell ref="DY23:EC23"/>
    <mergeCell ref="DY24:EC24"/>
    <mergeCell ref="DW23:DX23"/>
    <mergeCell ref="CU24:CZ24"/>
    <mergeCell ref="DA24:DC24"/>
    <mergeCell ref="DD24:DI24"/>
    <mergeCell ref="DJ24:DL24"/>
    <mergeCell ref="DM24:DN24"/>
    <mergeCell ref="DO24:DP24"/>
    <mergeCell ref="DQ24:DR24"/>
    <mergeCell ref="DS24:DT24"/>
    <mergeCell ref="DU24:DV24"/>
    <mergeCell ref="DW24:DX24"/>
    <mergeCell ref="CU23:CZ23"/>
    <mergeCell ref="DA23:DC23"/>
    <mergeCell ref="DD23:DI23"/>
    <mergeCell ref="DJ23:DL23"/>
    <mergeCell ref="DM23:DN23"/>
    <mergeCell ref="DO23:DP23"/>
    <mergeCell ref="DQ23:DR23"/>
    <mergeCell ref="DS23:DT23"/>
    <mergeCell ref="DU23:DV23"/>
  </mergeCells>
  <conditionalFormatting sqref="H47:L47">
    <cfRule type="cellIs" dxfId="47" priority="5" operator="lessThanOrEqual">
      <formula>1</formula>
    </cfRule>
    <cfRule type="expression" dxfId="46" priority="6">
      <formula>AND($H$47&gt;1,$H$47&lt;=2)</formula>
    </cfRule>
    <cfRule type="cellIs" dxfId="45" priority="7" operator="greaterThan">
      <formula>2</formula>
    </cfRule>
  </conditionalFormatting>
  <conditionalFormatting sqref="M25">
    <cfRule type="notContainsBlanks" dxfId="44" priority="3">
      <formula>LEN(TRIM(M25))&gt;0</formula>
    </cfRule>
  </conditionalFormatting>
  <conditionalFormatting sqref="BA37:BD37">
    <cfRule type="cellIs" dxfId="43" priority="1" operator="greaterThan">
      <formula>4500</formula>
    </cfRule>
  </conditionalFormatting>
  <conditionalFormatting sqref="BA49:BD49">
    <cfRule type="cellIs" dxfId="42" priority="4" operator="greaterThan">
      <formula>4500</formula>
    </cfRule>
  </conditionalFormatting>
  <pageMargins left="0.7" right="0.7" top="0.75" bottom="0.75" header="0.3" footer="0.3"/>
  <pageSetup orientation="landscape" horizontalDpi="1200" verticalDpi="1200"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1B1BCF-F0C1-499D-B549-52C04910AB48}">
          <x14:formula1>
            <xm:f>Lists!$L$1:$L$2</xm:f>
          </x14:formula1>
          <xm:sqref>A41:A43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B0B5-722B-4A6E-8AD7-C122640EFEE0}">
  <sheetPr>
    <pageSetUpPr fitToPage="1"/>
  </sheetPr>
  <dimension ref="B1:AQ70"/>
  <sheetViews>
    <sheetView zoomScale="145" zoomScaleNormal="145" workbookViewId="0">
      <selection activeCell="B8" sqref="B8"/>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3" ht="21" x14ac:dyDescent="0.35">
      <c r="B2" s="626" t="s">
        <v>1677</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3" ht="35.450000000000003" customHeight="1" x14ac:dyDescent="0.25">
      <c r="B3" s="753" t="s">
        <v>397</v>
      </c>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row>
    <row r="4" spans="2:43" x14ac:dyDescent="0.25">
      <c r="B4" s="754" t="s">
        <v>161</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5" t="s">
        <v>52</v>
      </c>
      <c r="AF4" s="755"/>
      <c r="AG4" s="755"/>
      <c r="AH4" s="755"/>
      <c r="AI4" s="755"/>
      <c r="AJ4" s="755"/>
      <c r="AK4" s="755"/>
      <c r="AL4" s="755"/>
      <c r="AM4" s="755"/>
      <c r="AN4" s="755"/>
      <c r="AO4" s="755"/>
    </row>
    <row r="5" spans="2:43" ht="18" customHeight="1" x14ac:dyDescent="0.25">
      <c r="B5" s="553" t="s">
        <v>401</v>
      </c>
      <c r="C5" s="553"/>
      <c r="D5" s="553"/>
      <c r="E5" s="553"/>
      <c r="F5" s="553"/>
      <c r="G5" s="553"/>
      <c r="H5" s="553"/>
      <c r="I5" s="553"/>
      <c r="J5" s="553"/>
      <c r="K5" s="553"/>
      <c r="L5" s="553"/>
      <c r="M5" s="553"/>
      <c r="N5" s="553"/>
      <c r="O5" s="553"/>
      <c r="P5" s="904" t="str">
        <f>IF(ISBLANK('Project Information'!E6),"",'Project Information'!E6)</f>
        <v/>
      </c>
      <c r="Q5" s="904"/>
      <c r="R5" s="904"/>
      <c r="S5" s="904"/>
      <c r="T5" s="904"/>
      <c r="U5" s="904"/>
      <c r="V5" s="904"/>
      <c r="W5" s="904"/>
      <c r="X5" s="904"/>
      <c r="Y5" s="904" t="str">
        <f>IF(ISBLANK('Project Information'!X6),"",'Project Information'!X6)</f>
        <v/>
      </c>
      <c r="Z5" s="904"/>
      <c r="AA5" s="904"/>
      <c r="AB5" s="904"/>
      <c r="AC5" s="904"/>
      <c r="AD5" s="904"/>
      <c r="AE5" s="158" t="s">
        <v>1</v>
      </c>
      <c r="AF5" s="904" t="str">
        <f>IF(ISBLANK('Project Information'!AK6),"",'Project Information'!AK6)</f>
        <v/>
      </c>
      <c r="AG5" s="904"/>
      <c r="AH5" s="904"/>
      <c r="AI5" s="905" t="str">
        <f>IF(ISBLANK('Project Information'!M15),"",'Project Information'!M15)</f>
        <v/>
      </c>
      <c r="AJ5" s="905"/>
      <c r="AK5" s="905"/>
      <c r="AL5" s="905"/>
      <c r="AM5" s="905"/>
      <c r="AN5" s="905"/>
      <c r="AO5" s="905"/>
    </row>
    <row r="6" spans="2:43" ht="18" customHeight="1" x14ac:dyDescent="0.25">
      <c r="B6" s="557" t="s">
        <v>590</v>
      </c>
      <c r="C6" s="557"/>
      <c r="D6" s="557"/>
      <c r="E6" s="557"/>
      <c r="F6" s="557"/>
      <c r="G6" s="557"/>
      <c r="H6" s="557"/>
      <c r="I6" s="557"/>
      <c r="J6" s="557"/>
      <c r="K6" s="557"/>
      <c r="L6" s="557"/>
      <c r="M6" s="928" t="str">
        <f>IF('Project Information'!G20="","",'Project Information'!G20)</f>
        <v/>
      </c>
      <c r="N6" s="928"/>
      <c r="O6" s="928"/>
      <c r="P6" s="928"/>
      <c r="Q6" s="928"/>
      <c r="R6" s="928"/>
      <c r="S6" s="928"/>
      <c r="T6" s="928"/>
      <c r="U6" s="928"/>
      <c r="V6" s="928"/>
      <c r="W6" s="928"/>
      <c r="X6" s="928"/>
      <c r="Y6" s="928"/>
      <c r="Z6" s="904" t="str">
        <f>IF('Project Information'!G23="","","and")</f>
        <v/>
      </c>
      <c r="AA6" s="904"/>
      <c r="AB6" s="929" t="str">
        <f>IF('Project Information'!G23="","",'Project Information'!G23)</f>
        <v/>
      </c>
      <c r="AC6" s="929"/>
      <c r="AD6" s="929"/>
      <c r="AE6" s="929"/>
      <c r="AF6" s="929"/>
      <c r="AG6" s="929"/>
      <c r="AH6" s="929"/>
      <c r="AI6" s="929"/>
      <c r="AJ6" s="929"/>
      <c r="AK6" s="929"/>
      <c r="AL6" s="929"/>
      <c r="AM6" s="929"/>
      <c r="AN6" s="929"/>
      <c r="AO6" s="237"/>
    </row>
    <row r="7" spans="2:43" ht="3.75" customHeight="1" x14ac:dyDescent="0.25">
      <c r="B7" s="389"/>
      <c r="C7" s="389"/>
      <c r="D7" s="389"/>
      <c r="E7" s="389"/>
      <c r="F7" s="389"/>
      <c r="G7" s="389"/>
      <c r="H7" s="389"/>
      <c r="I7" s="389"/>
      <c r="J7" s="389"/>
      <c r="K7" s="389"/>
      <c r="L7" s="389"/>
      <c r="M7" s="390"/>
      <c r="N7" s="390"/>
      <c r="O7" s="390"/>
      <c r="P7" s="390"/>
      <c r="Q7" s="390"/>
      <c r="R7" s="390"/>
      <c r="S7" s="390"/>
      <c r="T7" s="390"/>
      <c r="U7" s="390"/>
      <c r="V7" s="390"/>
      <c r="W7" s="390"/>
      <c r="X7" s="390"/>
      <c r="Y7" s="390"/>
      <c r="Z7" s="391"/>
      <c r="AA7" s="391"/>
      <c r="AB7" s="392"/>
      <c r="AC7" s="392"/>
      <c r="AD7" s="392"/>
      <c r="AE7" s="392"/>
      <c r="AF7" s="392"/>
      <c r="AG7" s="392"/>
      <c r="AH7" s="392"/>
      <c r="AI7" s="392"/>
      <c r="AJ7" s="392"/>
      <c r="AK7" s="392"/>
      <c r="AL7" s="392"/>
      <c r="AM7" s="392"/>
      <c r="AN7" s="392"/>
      <c r="AO7" s="237"/>
    </row>
    <row r="8" spans="2:43" ht="18" customHeight="1" x14ac:dyDescent="0.25">
      <c r="B8" s="497"/>
      <c r="C8" s="557" t="s">
        <v>1407</v>
      </c>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row>
    <row r="9" spans="2:43" ht="18" customHeight="1" x14ac:dyDescent="0.25">
      <c r="B9" s="393"/>
      <c r="C9" s="557" t="s">
        <v>1408</v>
      </c>
      <c r="D9" s="557"/>
      <c r="E9" s="557"/>
      <c r="F9" s="557"/>
      <c r="G9" s="557"/>
      <c r="H9" s="557"/>
      <c r="I9" s="557"/>
      <c r="J9" s="557"/>
      <c r="K9" s="557"/>
      <c r="L9" s="557"/>
      <c r="M9" s="557"/>
      <c r="N9" s="557"/>
      <c r="O9" s="557"/>
      <c r="P9" s="557"/>
      <c r="Q9" s="557"/>
      <c r="R9" s="557"/>
      <c r="S9" s="557"/>
      <c r="T9" s="557"/>
      <c r="U9" s="557"/>
      <c r="V9" s="557"/>
      <c r="W9" s="557"/>
      <c r="X9" s="557"/>
      <c r="Y9" s="557"/>
      <c r="Z9" s="557"/>
      <c r="AA9" s="1122"/>
      <c r="AB9" s="1122"/>
      <c r="AC9" s="1122"/>
      <c r="AD9" s="1122"/>
      <c r="AE9" s="1122"/>
      <c r="AF9" s="904"/>
      <c r="AG9" s="904"/>
      <c r="AH9" s="904"/>
      <c r="AI9" s="904"/>
      <c r="AJ9" s="904"/>
      <c r="AK9" s="904"/>
      <c r="AL9" s="904"/>
      <c r="AM9" s="904"/>
      <c r="AN9" s="904"/>
      <c r="AO9" s="904"/>
    </row>
    <row r="10" spans="2:43" ht="3.75" customHeight="1" thickBot="1" x14ac:dyDescent="0.3">
      <c r="B10" s="759"/>
      <c r="C10" s="759"/>
      <c r="D10" s="759"/>
      <c r="E10" s="759"/>
      <c r="F10" s="759"/>
      <c r="G10" s="759"/>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59"/>
      <c r="AL10" s="759"/>
      <c r="AM10" s="759"/>
      <c r="AN10" s="759"/>
      <c r="AO10" s="759"/>
    </row>
    <row r="11" spans="2:43" ht="21.75" customHeight="1" x14ac:dyDescent="0.25">
      <c r="B11" s="589" t="s">
        <v>500</v>
      </c>
      <c r="C11" s="590"/>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1"/>
    </row>
    <row r="12" spans="2:43" s="5" customFormat="1" ht="27.6" customHeight="1" x14ac:dyDescent="0.25">
      <c r="B12" s="1118" t="s">
        <v>104</v>
      </c>
      <c r="C12" s="1119"/>
      <c r="D12" s="1120" t="s">
        <v>105</v>
      </c>
      <c r="E12" s="1120"/>
      <c r="F12" s="1120"/>
      <c r="G12" s="1120"/>
      <c r="H12" s="1120"/>
      <c r="I12" s="1120"/>
      <c r="J12" s="1120"/>
      <c r="K12" s="1120"/>
      <c r="L12" s="1120"/>
      <c r="M12" s="1120"/>
      <c r="N12" s="1119" t="s">
        <v>106</v>
      </c>
      <c r="O12" s="1119"/>
      <c r="P12" s="1119"/>
      <c r="Q12" s="1119"/>
      <c r="R12" s="1119"/>
      <c r="S12" s="1119"/>
      <c r="T12" s="1120" t="s">
        <v>107</v>
      </c>
      <c r="U12" s="1120"/>
      <c r="V12" s="1120"/>
      <c r="W12" s="1120"/>
      <c r="X12" s="1120" t="s">
        <v>108</v>
      </c>
      <c r="Y12" s="1120"/>
      <c r="Z12" s="1120"/>
      <c r="AA12" s="1120"/>
      <c r="AB12" s="1120"/>
      <c r="AC12" s="1120"/>
      <c r="AD12" s="1120" t="s">
        <v>448</v>
      </c>
      <c r="AE12" s="1120"/>
      <c r="AF12" s="1120"/>
      <c r="AG12" s="1120"/>
      <c r="AH12" s="1120"/>
      <c r="AI12" s="1120"/>
      <c r="AJ12" s="1119" t="s">
        <v>450</v>
      </c>
      <c r="AK12" s="1119"/>
      <c r="AL12" s="1119"/>
      <c r="AM12" s="1119"/>
      <c r="AN12" s="1119"/>
      <c r="AO12" s="1121"/>
      <c r="AQ12" s="193"/>
    </row>
    <row r="13" spans="2:43" s="5" customFormat="1" ht="27.6" customHeight="1" x14ac:dyDescent="0.2">
      <c r="B13" s="767"/>
      <c r="C13" s="768"/>
      <c r="D13" s="774" t="s">
        <v>337</v>
      </c>
      <c r="E13" s="774"/>
      <c r="F13" s="774"/>
      <c r="G13" s="774"/>
      <c r="H13" s="774"/>
      <c r="I13" s="774"/>
      <c r="J13" s="774"/>
      <c r="K13" s="774"/>
      <c r="L13" s="774"/>
      <c r="M13" s="774"/>
      <c r="N13" s="776">
        <f>IF(T13=1,X13,0)</f>
        <v>0</v>
      </c>
      <c r="O13" s="777"/>
      <c r="P13" s="777"/>
      <c r="Q13" s="778" t="s">
        <v>140</v>
      </c>
      <c r="R13" s="778"/>
      <c r="S13" s="779"/>
      <c r="T13" s="1108"/>
      <c r="U13" s="1108"/>
      <c r="V13" s="1108"/>
      <c r="W13" s="1109"/>
      <c r="X13" s="1110"/>
      <c r="Y13" s="1111"/>
      <c r="Z13" s="1111"/>
      <c r="AA13" s="1111"/>
      <c r="AB13" s="1111"/>
      <c r="AC13" s="1112"/>
      <c r="AD13" s="1101" t="str">
        <f>IF(ISBLANK(X13),"",N13*T13)</f>
        <v/>
      </c>
      <c r="AE13" s="1102"/>
      <c r="AF13" s="1102"/>
      <c r="AG13" s="1102"/>
      <c r="AH13" s="1102"/>
      <c r="AI13" s="1103"/>
      <c r="AJ13" s="1102" t="str">
        <f>IF(ISBLANK(X13),"",X13-AD13)</f>
        <v/>
      </c>
      <c r="AK13" s="1102"/>
      <c r="AL13" s="1102"/>
      <c r="AM13" s="1102"/>
      <c r="AN13" s="1102"/>
      <c r="AO13" s="1116"/>
    </row>
    <row r="14" spans="2:43" s="5" customFormat="1" ht="21.6" customHeight="1" x14ac:dyDescent="0.2">
      <c r="B14" s="771"/>
      <c r="C14" s="772"/>
      <c r="D14" s="1114" t="s">
        <v>119</v>
      </c>
      <c r="E14" s="1115"/>
      <c r="F14" s="1115"/>
      <c r="G14" s="1115"/>
      <c r="H14" s="1063"/>
      <c r="I14" s="1063"/>
      <c r="J14" s="1063"/>
      <c r="K14" s="1063"/>
      <c r="L14" s="1063"/>
      <c r="M14" s="1113"/>
      <c r="N14" s="1115" t="s">
        <v>96</v>
      </c>
      <c r="O14" s="1115"/>
      <c r="P14" s="1115"/>
      <c r="Q14" s="1115"/>
      <c r="R14" s="1115"/>
      <c r="S14" s="1115"/>
      <c r="T14" s="1115"/>
      <c r="U14" s="1063"/>
      <c r="V14" s="1063"/>
      <c r="W14" s="1063"/>
      <c r="X14" s="1063"/>
      <c r="Y14" s="1063"/>
      <c r="Z14" s="1063"/>
      <c r="AA14" s="1063"/>
      <c r="AB14" s="1063"/>
      <c r="AC14" s="1113"/>
      <c r="AD14" s="1064" t="s">
        <v>141</v>
      </c>
      <c r="AE14" s="1065"/>
      <c r="AF14" s="1065"/>
      <c r="AG14" s="1065"/>
      <c r="AH14" s="1065"/>
      <c r="AI14" s="1066"/>
      <c r="AJ14" s="1066"/>
      <c r="AK14" s="1066"/>
      <c r="AL14" s="1066"/>
      <c r="AM14" s="1066"/>
      <c r="AN14" s="1066"/>
      <c r="AO14" s="1117"/>
    </row>
    <row r="15" spans="2:43" s="2" customFormat="1" ht="27.6" customHeight="1" x14ac:dyDescent="0.25">
      <c r="B15" s="767"/>
      <c r="C15" s="768"/>
      <c r="D15" s="774" t="s">
        <v>502</v>
      </c>
      <c r="E15" s="774"/>
      <c r="F15" s="774"/>
      <c r="G15" s="774"/>
      <c r="H15" s="774"/>
      <c r="I15" s="774"/>
      <c r="J15" s="774"/>
      <c r="K15" s="774"/>
      <c r="L15" s="774"/>
      <c r="M15" s="774"/>
      <c r="N15" s="776">
        <f>IF(T15=1,X15,0)</f>
        <v>0</v>
      </c>
      <c r="O15" s="777"/>
      <c r="P15" s="777"/>
      <c r="Q15" s="778" t="s">
        <v>140</v>
      </c>
      <c r="R15" s="778"/>
      <c r="S15" s="779"/>
      <c r="T15" s="1108"/>
      <c r="U15" s="1108"/>
      <c r="V15" s="1108"/>
      <c r="W15" s="1109"/>
      <c r="X15" s="1110"/>
      <c r="Y15" s="1111"/>
      <c r="Z15" s="1111"/>
      <c r="AA15" s="1111"/>
      <c r="AB15" s="1111"/>
      <c r="AC15" s="1112"/>
      <c r="AD15" s="1101" t="str">
        <f>IF(ISBLANK(X15),"",N15*T15)</f>
        <v/>
      </c>
      <c r="AE15" s="1102"/>
      <c r="AF15" s="1102"/>
      <c r="AG15" s="1102"/>
      <c r="AH15" s="1102"/>
      <c r="AI15" s="1103"/>
      <c r="AJ15" s="1102" t="str">
        <f>IF(ISBLANK(X15),"",X15-AD15)</f>
        <v/>
      </c>
      <c r="AK15" s="1102"/>
      <c r="AL15" s="1102"/>
      <c r="AM15" s="1102"/>
      <c r="AN15" s="1102"/>
      <c r="AO15" s="1116"/>
    </row>
    <row r="16" spans="2:43" s="2" customFormat="1" ht="18" customHeight="1" x14ac:dyDescent="0.25">
      <c r="B16" s="771"/>
      <c r="C16" s="772"/>
      <c r="D16" s="1114" t="s">
        <v>119</v>
      </c>
      <c r="E16" s="1115"/>
      <c r="F16" s="1115"/>
      <c r="G16" s="1115"/>
      <c r="H16" s="1063"/>
      <c r="I16" s="1063"/>
      <c r="J16" s="1063"/>
      <c r="K16" s="1063"/>
      <c r="L16" s="1063"/>
      <c r="M16" s="1113"/>
      <c r="N16" s="1062" t="s">
        <v>205</v>
      </c>
      <c r="O16" s="1062"/>
      <c r="P16" s="1062"/>
      <c r="Q16" s="1062"/>
      <c r="R16" s="1063"/>
      <c r="S16" s="1063"/>
      <c r="T16" s="1063"/>
      <c r="U16" s="1064" t="s">
        <v>96</v>
      </c>
      <c r="V16" s="1065"/>
      <c r="W16" s="1065"/>
      <c r="X16" s="1065"/>
      <c r="Y16" s="1066"/>
      <c r="Z16" s="1066"/>
      <c r="AA16" s="1066"/>
      <c r="AB16" s="1066"/>
      <c r="AC16" s="1066"/>
      <c r="AD16" s="1066"/>
      <c r="AE16" s="1067"/>
      <c r="AF16" s="1068" t="s">
        <v>141</v>
      </c>
      <c r="AG16" s="1068"/>
      <c r="AH16" s="1068"/>
      <c r="AI16" s="1063"/>
      <c r="AJ16" s="1063"/>
      <c r="AK16" s="1063"/>
      <c r="AL16" s="1063"/>
      <c r="AM16" s="1063"/>
      <c r="AN16" s="1063"/>
      <c r="AO16" s="1069"/>
    </row>
    <row r="17" spans="2:41" s="2" customFormat="1" ht="27.6" customHeight="1" x14ac:dyDescent="0.25">
      <c r="B17" s="767"/>
      <c r="C17" s="768"/>
      <c r="D17" s="774" t="s">
        <v>357</v>
      </c>
      <c r="E17" s="774"/>
      <c r="F17" s="774"/>
      <c r="G17" s="774"/>
      <c r="H17" s="774"/>
      <c r="I17" s="774"/>
      <c r="J17" s="774"/>
      <c r="K17" s="774"/>
      <c r="L17" s="774"/>
      <c r="M17" s="774"/>
      <c r="N17" s="776">
        <f>IF(T17=1,X17,0)</f>
        <v>0</v>
      </c>
      <c r="O17" s="777"/>
      <c r="P17" s="777"/>
      <c r="Q17" s="778" t="s">
        <v>140</v>
      </c>
      <c r="R17" s="778"/>
      <c r="S17" s="779"/>
      <c r="T17" s="1108"/>
      <c r="U17" s="1108"/>
      <c r="V17" s="1108"/>
      <c r="W17" s="1109"/>
      <c r="X17" s="1110"/>
      <c r="Y17" s="1111"/>
      <c r="Z17" s="1111"/>
      <c r="AA17" s="1111"/>
      <c r="AB17" s="1111"/>
      <c r="AC17" s="1112"/>
      <c r="AD17" s="1101" t="str">
        <f>IF(ISBLANK(X17),"",N17*T17)</f>
        <v/>
      </c>
      <c r="AE17" s="1102"/>
      <c r="AF17" s="1102"/>
      <c r="AG17" s="1102"/>
      <c r="AH17" s="1102"/>
      <c r="AI17" s="1103"/>
      <c r="AJ17" s="1102" t="str">
        <f>IF(ISBLANK(X17),"",X17-AD17)</f>
        <v/>
      </c>
      <c r="AK17" s="1102"/>
      <c r="AL17" s="1102"/>
      <c r="AM17" s="1102"/>
      <c r="AN17" s="1102"/>
      <c r="AO17" s="1116"/>
    </row>
    <row r="18" spans="2:41" s="2" customFormat="1" ht="18" customHeight="1" x14ac:dyDescent="0.25">
      <c r="B18" s="771"/>
      <c r="C18" s="772"/>
      <c r="D18" s="1114" t="s">
        <v>119</v>
      </c>
      <c r="E18" s="1115"/>
      <c r="F18" s="1115"/>
      <c r="G18" s="1115"/>
      <c r="H18" s="1063"/>
      <c r="I18" s="1063"/>
      <c r="J18" s="1063"/>
      <c r="K18" s="1063"/>
      <c r="L18" s="1063"/>
      <c r="M18" s="1113"/>
      <c r="N18" s="1062" t="s">
        <v>205</v>
      </c>
      <c r="O18" s="1062"/>
      <c r="P18" s="1062"/>
      <c r="Q18" s="1062"/>
      <c r="R18" s="1063"/>
      <c r="S18" s="1063"/>
      <c r="T18" s="1063"/>
      <c r="U18" s="1064" t="s">
        <v>96</v>
      </c>
      <c r="V18" s="1065"/>
      <c r="W18" s="1065"/>
      <c r="X18" s="1065"/>
      <c r="Y18" s="1066"/>
      <c r="Z18" s="1066"/>
      <c r="AA18" s="1066"/>
      <c r="AB18" s="1066"/>
      <c r="AC18" s="1066"/>
      <c r="AD18" s="1066"/>
      <c r="AE18" s="1067"/>
      <c r="AF18" s="1068" t="s">
        <v>141</v>
      </c>
      <c r="AG18" s="1068"/>
      <c r="AH18" s="1068"/>
      <c r="AI18" s="1063"/>
      <c r="AJ18" s="1063"/>
      <c r="AK18" s="1063"/>
      <c r="AL18" s="1063"/>
      <c r="AM18" s="1063"/>
      <c r="AN18" s="1063"/>
      <c r="AO18" s="1069"/>
    </row>
    <row r="19" spans="2:41" s="2" customFormat="1" ht="27.6" customHeight="1" x14ac:dyDescent="0.25">
      <c r="B19" s="767"/>
      <c r="C19" s="768"/>
      <c r="D19" s="774" t="s">
        <v>1714</v>
      </c>
      <c r="E19" s="774"/>
      <c r="F19" s="774"/>
      <c r="G19" s="774"/>
      <c r="H19" s="774"/>
      <c r="I19" s="774"/>
      <c r="J19" s="774"/>
      <c r="K19" s="774"/>
      <c r="L19" s="774"/>
      <c r="M19" s="774"/>
      <c r="N19" s="776">
        <f>IF(T19=1,X19,0)</f>
        <v>0</v>
      </c>
      <c r="O19" s="777"/>
      <c r="P19" s="777"/>
      <c r="Q19" s="778" t="s">
        <v>140</v>
      </c>
      <c r="R19" s="778"/>
      <c r="S19" s="779"/>
      <c r="T19" s="800"/>
      <c r="U19" s="800"/>
      <c r="V19" s="800"/>
      <c r="W19" s="801"/>
      <c r="X19" s="783"/>
      <c r="Y19" s="784"/>
      <c r="Z19" s="784"/>
      <c r="AA19" s="784"/>
      <c r="AB19" s="784"/>
      <c r="AC19" s="785"/>
      <c r="AD19" s="677" t="str">
        <f>IF(ISBLANK(X19),"",N19*T19)</f>
        <v/>
      </c>
      <c r="AE19" s="678"/>
      <c r="AF19" s="678"/>
      <c r="AG19" s="678"/>
      <c r="AH19" s="678"/>
      <c r="AI19" s="679"/>
      <c r="AJ19" s="678" t="str">
        <f>IF(ISBLANK(X19),"",X19-AD19)</f>
        <v/>
      </c>
      <c r="AK19" s="678"/>
      <c r="AL19" s="678"/>
      <c r="AM19" s="678"/>
      <c r="AN19" s="678"/>
      <c r="AO19" s="786"/>
    </row>
    <row r="20" spans="2:41" s="2" customFormat="1" ht="18" customHeight="1" x14ac:dyDescent="0.25">
      <c r="B20" s="771"/>
      <c r="C20" s="772"/>
      <c r="D20" s="834"/>
      <c r="E20" s="835"/>
      <c r="F20" s="835"/>
      <c r="G20" s="835"/>
      <c r="H20" s="835"/>
      <c r="I20" s="835"/>
      <c r="J20" s="835"/>
      <c r="K20" s="835"/>
      <c r="L20" s="835"/>
      <c r="M20" s="835"/>
      <c r="N20" s="1062" t="s">
        <v>205</v>
      </c>
      <c r="O20" s="1062"/>
      <c r="P20" s="1062"/>
      <c r="Q20" s="1062"/>
      <c r="R20" s="1063"/>
      <c r="S20" s="1063"/>
      <c r="T20" s="1063"/>
      <c r="U20" s="1064" t="s">
        <v>96</v>
      </c>
      <c r="V20" s="1065"/>
      <c r="W20" s="1065"/>
      <c r="X20" s="1065"/>
      <c r="Y20" s="1066"/>
      <c r="Z20" s="1066"/>
      <c r="AA20" s="1066"/>
      <c r="AB20" s="1066"/>
      <c r="AC20" s="1066"/>
      <c r="AD20" s="1066"/>
      <c r="AE20" s="1067"/>
      <c r="AF20" s="1068" t="s">
        <v>141</v>
      </c>
      <c r="AG20" s="1068"/>
      <c r="AH20" s="1068"/>
      <c r="AI20" s="1063"/>
      <c r="AJ20" s="1063"/>
      <c r="AK20" s="1063"/>
      <c r="AL20" s="1063"/>
      <c r="AM20" s="1063"/>
      <c r="AN20" s="1063"/>
      <c r="AO20" s="1069"/>
    </row>
    <row r="21" spans="2:41" s="2" customFormat="1" ht="27.6" customHeight="1" x14ac:dyDescent="0.25">
      <c r="B21" s="767"/>
      <c r="C21" s="768"/>
      <c r="D21" s="773" t="s">
        <v>131</v>
      </c>
      <c r="E21" s="774"/>
      <c r="F21" s="774"/>
      <c r="G21" s="774"/>
      <c r="H21" s="774"/>
      <c r="I21" s="774"/>
      <c r="J21" s="774"/>
      <c r="K21" s="774"/>
      <c r="L21" s="774"/>
      <c r="M21" s="775"/>
      <c r="N21" s="776">
        <f>IF(T21=1,X21,0)</f>
        <v>0</v>
      </c>
      <c r="O21" s="777"/>
      <c r="P21" s="777"/>
      <c r="Q21" s="778" t="s">
        <v>132</v>
      </c>
      <c r="R21" s="778"/>
      <c r="S21" s="779"/>
      <c r="T21" s="799"/>
      <c r="U21" s="800"/>
      <c r="V21" s="800"/>
      <c r="W21" s="801"/>
      <c r="X21" s="783"/>
      <c r="Y21" s="784"/>
      <c r="Z21" s="784"/>
      <c r="AA21" s="784"/>
      <c r="AB21" s="784"/>
      <c r="AC21" s="785"/>
      <c r="AD21" s="677" t="str">
        <f>IF(ISBLANK(X21),"",N21*T21)</f>
        <v/>
      </c>
      <c r="AE21" s="678"/>
      <c r="AF21" s="678"/>
      <c r="AG21" s="678"/>
      <c r="AH21" s="678"/>
      <c r="AI21" s="679"/>
      <c r="AJ21" s="677" t="str">
        <f>IF(ISBLANK(X21),"",X21-AD21)</f>
        <v/>
      </c>
      <c r="AK21" s="678"/>
      <c r="AL21" s="678"/>
      <c r="AM21" s="678"/>
      <c r="AN21" s="678"/>
      <c r="AO21" s="786"/>
    </row>
    <row r="22" spans="2:41" s="2" customFormat="1" ht="20.100000000000001" customHeight="1" x14ac:dyDescent="0.25">
      <c r="B22" s="771"/>
      <c r="C22" s="772"/>
      <c r="D22" s="683" t="s">
        <v>1506</v>
      </c>
      <c r="E22" s="684"/>
      <c r="F22" s="684"/>
      <c r="G22" s="684"/>
      <c r="H22" s="684"/>
      <c r="I22" s="684"/>
      <c r="J22" s="684"/>
      <c r="K22" s="684"/>
      <c r="L22" s="684"/>
      <c r="M22" s="684"/>
      <c r="N22" s="1058"/>
      <c r="O22" s="1059"/>
      <c r="P22" s="683" t="s">
        <v>1507</v>
      </c>
      <c r="Q22" s="684"/>
      <c r="R22" s="684"/>
      <c r="S22" s="684"/>
      <c r="T22" s="684"/>
      <c r="U22" s="684"/>
      <c r="V22" s="684"/>
      <c r="W22" s="1060"/>
      <c r="X22" s="1061"/>
      <c r="Y22" s="716" t="s">
        <v>1508</v>
      </c>
      <c r="Z22" s="717"/>
      <c r="AA22" s="717"/>
      <c r="AB22" s="717"/>
      <c r="AC22" s="717"/>
      <c r="AD22" s="717"/>
      <c r="AE22" s="717"/>
      <c r="AF22" s="1060"/>
      <c r="AG22" s="1061"/>
      <c r="AH22" s="716" t="s">
        <v>112</v>
      </c>
      <c r="AI22" s="717"/>
      <c r="AJ22" s="717"/>
      <c r="AK22" s="720"/>
      <c r="AL22" s="720"/>
      <c r="AM22" s="720"/>
      <c r="AN22" s="720"/>
      <c r="AO22" s="721"/>
    </row>
    <row r="23" spans="2:41" s="2" customFormat="1" ht="27" customHeight="1" x14ac:dyDescent="0.25">
      <c r="B23" s="769"/>
      <c r="C23" s="770"/>
      <c r="D23" s="1048" t="s">
        <v>1678</v>
      </c>
      <c r="E23" s="1048"/>
      <c r="F23" s="1048"/>
      <c r="G23" s="1048"/>
      <c r="H23" s="1048"/>
      <c r="I23" s="1048"/>
      <c r="J23" s="1048"/>
      <c r="K23" s="1048"/>
      <c r="L23" s="1048"/>
      <c r="M23" s="1048"/>
      <c r="N23" s="1049">
        <f>IF(T23=1,X23,0)</f>
        <v>0</v>
      </c>
      <c r="O23" s="1050"/>
      <c r="P23" s="1050"/>
      <c r="Q23" s="1051" t="s">
        <v>140</v>
      </c>
      <c r="R23" s="1051"/>
      <c r="S23" s="1052"/>
      <c r="T23" s="1053"/>
      <c r="U23" s="1053"/>
      <c r="V23" s="1053"/>
      <c r="W23" s="1054"/>
      <c r="X23" s="1055"/>
      <c r="Y23" s="1056"/>
      <c r="Z23" s="1056"/>
      <c r="AA23" s="1056"/>
      <c r="AB23" s="1056"/>
      <c r="AC23" s="1057"/>
      <c r="AD23" s="1104" t="str">
        <f>IF(ISBLANK(X23),"",N23*T23)</f>
        <v/>
      </c>
      <c r="AE23" s="1105"/>
      <c r="AF23" s="1105"/>
      <c r="AG23" s="1105"/>
      <c r="AH23" s="1105"/>
      <c r="AI23" s="1106"/>
      <c r="AJ23" s="1105" t="str">
        <f>IF(ISBLANK(X23),"",X23-AD23)</f>
        <v/>
      </c>
      <c r="AK23" s="1105"/>
      <c r="AL23" s="1105"/>
      <c r="AM23" s="1105"/>
      <c r="AN23" s="1105"/>
      <c r="AO23" s="1107"/>
    </row>
    <row r="24" spans="2:41" s="2" customFormat="1" ht="18" customHeight="1" x14ac:dyDescent="0.25">
      <c r="B24" s="769"/>
      <c r="C24" s="770"/>
      <c r="D24" s="680" t="s">
        <v>96</v>
      </c>
      <c r="E24" s="681"/>
      <c r="F24" s="681"/>
      <c r="G24" s="681"/>
      <c r="H24" s="676"/>
      <c r="I24" s="676"/>
      <c r="J24" s="676"/>
      <c r="K24" s="676"/>
      <c r="L24" s="676"/>
      <c r="M24" s="682"/>
      <c r="N24" s="683" t="s">
        <v>141</v>
      </c>
      <c r="O24" s="684"/>
      <c r="P24" s="676"/>
      <c r="Q24" s="676"/>
      <c r="R24" s="676"/>
      <c r="S24" s="676"/>
      <c r="T24" s="676"/>
      <c r="U24" s="682"/>
      <c r="V24" s="684" t="s">
        <v>150</v>
      </c>
      <c r="W24" s="684"/>
      <c r="X24" s="685"/>
      <c r="Y24" s="685"/>
      <c r="Z24" s="685"/>
      <c r="AA24" s="686"/>
      <c r="AB24" s="683" t="s">
        <v>153</v>
      </c>
      <c r="AC24" s="684"/>
      <c r="AD24" s="687"/>
      <c r="AE24" s="687"/>
      <c r="AF24" s="688"/>
      <c r="AG24" s="794" t="s">
        <v>154</v>
      </c>
      <c r="AH24" s="795"/>
      <c r="AI24" s="906"/>
      <c r="AJ24" s="906"/>
      <c r="AK24" s="907"/>
      <c r="AL24" s="909" t="s">
        <v>155</v>
      </c>
      <c r="AM24" s="909"/>
      <c r="AN24" s="906"/>
      <c r="AO24" s="910"/>
    </row>
    <row r="25" spans="2:41" s="2" customFormat="1" ht="18" customHeight="1" x14ac:dyDescent="0.25">
      <c r="B25" s="771"/>
      <c r="C25" s="772"/>
      <c r="D25" s="674" t="s">
        <v>1499</v>
      </c>
      <c r="E25" s="675"/>
      <c r="F25" s="675"/>
      <c r="G25" s="675"/>
      <c r="H25" s="675"/>
      <c r="I25" s="675"/>
      <c r="J25" s="708"/>
      <c r="K25" s="708"/>
      <c r="L25" s="708"/>
      <c r="M25" s="709"/>
      <c r="N25" s="675" t="s">
        <v>1500</v>
      </c>
      <c r="O25" s="675"/>
      <c r="P25" s="675"/>
      <c r="Q25" s="675"/>
      <c r="R25" s="675"/>
      <c r="S25" s="675"/>
      <c r="T25" s="675"/>
      <c r="U25" s="675"/>
      <c r="V25" s="708"/>
      <c r="W25" s="708"/>
      <c r="X25" s="708"/>
      <c r="Y25" s="709"/>
      <c r="Z25" s="675" t="s">
        <v>1711</v>
      </c>
      <c r="AA25" s="675"/>
      <c r="AB25" s="675"/>
      <c r="AC25" s="675"/>
      <c r="AD25" s="542"/>
      <c r="AE25" s="1100" t="s">
        <v>1766</v>
      </c>
      <c r="AF25" s="1100"/>
      <c r="AG25" s="1100"/>
      <c r="AH25" s="1100"/>
      <c r="AI25" s="1100"/>
      <c r="AJ25" s="1100"/>
      <c r="AK25" s="676"/>
      <c r="AL25" s="676"/>
      <c r="AM25" s="676"/>
      <c r="AN25" s="676"/>
      <c r="AO25" s="528"/>
    </row>
    <row r="26" spans="2:41" s="2" customFormat="1" ht="27.6" customHeight="1" x14ac:dyDescent="0.25">
      <c r="B26" s="769"/>
      <c r="C26" s="770"/>
      <c r="D26" s="1048" t="s">
        <v>1679</v>
      </c>
      <c r="E26" s="1048"/>
      <c r="F26" s="1048"/>
      <c r="G26" s="1048"/>
      <c r="H26" s="1048"/>
      <c r="I26" s="1048"/>
      <c r="J26" s="1048"/>
      <c r="K26" s="1048"/>
      <c r="L26" s="1048"/>
      <c r="M26" s="1048"/>
      <c r="N26" s="1049">
        <f>IF(T26=1,X26,0)</f>
        <v>0</v>
      </c>
      <c r="O26" s="1050"/>
      <c r="P26" s="1050"/>
      <c r="Q26" s="1051" t="s">
        <v>140</v>
      </c>
      <c r="R26" s="1051"/>
      <c r="S26" s="1052"/>
      <c r="T26" s="1053"/>
      <c r="U26" s="1053"/>
      <c r="V26" s="1053"/>
      <c r="W26" s="1054"/>
      <c r="X26" s="1055"/>
      <c r="Y26" s="1056"/>
      <c r="Z26" s="1056"/>
      <c r="AA26" s="1056"/>
      <c r="AB26" s="1056"/>
      <c r="AC26" s="1057"/>
      <c r="AD26" s="1104" t="str">
        <f>IF(ISBLANK(X26),"",N26*T26)</f>
        <v/>
      </c>
      <c r="AE26" s="1105"/>
      <c r="AF26" s="1105"/>
      <c r="AG26" s="1105"/>
      <c r="AH26" s="1105"/>
      <c r="AI26" s="1106"/>
      <c r="AJ26" s="1105" t="str">
        <f>IF(ISBLANK(X26),"",X26-AD26)</f>
        <v/>
      </c>
      <c r="AK26" s="1105"/>
      <c r="AL26" s="1105"/>
      <c r="AM26" s="1105"/>
      <c r="AN26" s="1105"/>
      <c r="AO26" s="1107"/>
    </row>
    <row r="27" spans="2:41" s="2" customFormat="1" ht="18" customHeight="1" x14ac:dyDescent="0.25">
      <c r="B27" s="769"/>
      <c r="C27" s="770"/>
      <c r="D27" s="680" t="s">
        <v>96</v>
      </c>
      <c r="E27" s="681"/>
      <c r="F27" s="681"/>
      <c r="G27" s="681"/>
      <c r="H27" s="676"/>
      <c r="I27" s="676"/>
      <c r="J27" s="676"/>
      <c r="K27" s="676"/>
      <c r="L27" s="676"/>
      <c r="M27" s="682"/>
      <c r="N27" s="683" t="s">
        <v>141</v>
      </c>
      <c r="O27" s="684"/>
      <c r="P27" s="676"/>
      <c r="Q27" s="676"/>
      <c r="R27" s="676"/>
      <c r="S27" s="676"/>
      <c r="T27" s="676"/>
      <c r="U27" s="682"/>
      <c r="V27" s="684" t="s">
        <v>150</v>
      </c>
      <c r="W27" s="684"/>
      <c r="X27" s="685"/>
      <c r="Y27" s="685"/>
      <c r="Z27" s="685"/>
      <c r="AA27" s="686"/>
      <c r="AB27" s="683" t="s">
        <v>153</v>
      </c>
      <c r="AC27" s="684"/>
      <c r="AD27" s="687"/>
      <c r="AE27" s="687"/>
      <c r="AF27" s="688"/>
      <c r="AG27" s="794" t="s">
        <v>154</v>
      </c>
      <c r="AH27" s="795"/>
      <c r="AI27" s="906"/>
      <c r="AJ27" s="906"/>
      <c r="AK27" s="907"/>
      <c r="AL27" s="909" t="s">
        <v>155</v>
      </c>
      <c r="AM27" s="909"/>
      <c r="AN27" s="906"/>
      <c r="AO27" s="910"/>
    </row>
    <row r="28" spans="2:41" s="2" customFormat="1" ht="18" customHeight="1" thickBot="1" x14ac:dyDescent="0.3">
      <c r="B28" s="817"/>
      <c r="C28" s="818"/>
      <c r="D28" s="674" t="s">
        <v>1499</v>
      </c>
      <c r="E28" s="675"/>
      <c r="F28" s="675"/>
      <c r="G28" s="675"/>
      <c r="H28" s="675"/>
      <c r="I28" s="675"/>
      <c r="J28" s="708"/>
      <c r="K28" s="708"/>
      <c r="L28" s="708"/>
      <c r="M28" s="709"/>
      <c r="N28" s="675" t="s">
        <v>1500</v>
      </c>
      <c r="O28" s="675"/>
      <c r="P28" s="675"/>
      <c r="Q28" s="675"/>
      <c r="R28" s="675"/>
      <c r="S28" s="675"/>
      <c r="T28" s="675"/>
      <c r="U28" s="675"/>
      <c r="V28" s="708"/>
      <c r="W28" s="708"/>
      <c r="X28" s="708"/>
      <c r="Y28" s="709"/>
      <c r="Z28" s="675" t="s">
        <v>1711</v>
      </c>
      <c r="AA28" s="675"/>
      <c r="AB28" s="675"/>
      <c r="AC28" s="675"/>
      <c r="AD28" s="542"/>
      <c r="AE28" s="1100" t="s">
        <v>1766</v>
      </c>
      <c r="AF28" s="1100"/>
      <c r="AG28" s="1100"/>
      <c r="AH28" s="1100"/>
      <c r="AI28" s="1100"/>
      <c r="AJ28" s="1100"/>
      <c r="AK28" s="676"/>
      <c r="AL28" s="676"/>
      <c r="AM28" s="676"/>
      <c r="AN28" s="676"/>
      <c r="AO28" s="528"/>
    </row>
    <row r="29" spans="2:41" s="2" customFormat="1" ht="18" customHeight="1" thickTop="1" thickBot="1" x14ac:dyDescent="0.3">
      <c r="B29" s="1095" t="s">
        <v>505</v>
      </c>
      <c r="C29" s="1096"/>
      <c r="D29" s="1096"/>
      <c r="E29" s="1096"/>
      <c r="F29" s="1096"/>
      <c r="G29" s="1096"/>
      <c r="H29" s="1096"/>
      <c r="I29" s="1096"/>
      <c r="J29" s="1096"/>
      <c r="K29" s="1096"/>
      <c r="L29" s="1096"/>
      <c r="M29" s="1096"/>
      <c r="N29" s="1096"/>
      <c r="O29" s="1096"/>
      <c r="P29" s="1096"/>
      <c r="Q29" s="1096"/>
      <c r="R29" s="1096"/>
      <c r="S29" s="1096"/>
      <c r="T29" s="1096"/>
      <c r="U29" s="1096"/>
      <c r="V29" s="1096"/>
      <c r="W29" s="1096"/>
      <c r="X29" s="1097">
        <f>X13+X15+X17+X19+X21+X23+X26</f>
        <v>0</v>
      </c>
      <c r="Y29" s="1097"/>
      <c r="Z29" s="1097"/>
      <c r="AA29" s="1097"/>
      <c r="AB29" s="1097"/>
      <c r="AC29" s="1097"/>
      <c r="AD29" s="1098">
        <f>SUM(IF(AD13="",0,AD13)+IF(AD15="",0,AD15)+IF(AD17="",0,AD17)+IF(AD19="",0,AD19)+IF(AD21="",0,AD21)+IF(AD23="",0,AD23)+IF(AD26="",0,AD26))</f>
        <v>0</v>
      </c>
      <c r="AE29" s="1098"/>
      <c r="AF29" s="1098"/>
      <c r="AG29" s="1098"/>
      <c r="AH29" s="1098"/>
      <c r="AI29" s="1098"/>
      <c r="AJ29" s="1098">
        <f>SUM(IF(AJ13="",0,AJ13)+IF(AJ15="",0,AJ15)+IF(AJ17="",0,AJ17)+IF(AJ19="",0,AJ19)+IF(AJ21="",0,AJ21)+IF(AJ23="",0,AJ23)+IF(AJ26="",0,AJ26))</f>
        <v>0</v>
      </c>
      <c r="AK29" s="1098"/>
      <c r="AL29" s="1098"/>
      <c r="AM29" s="1098"/>
      <c r="AN29" s="1098"/>
      <c r="AO29" s="1099"/>
    </row>
    <row r="30" spans="2:41" s="2" customFormat="1" ht="3.6" customHeight="1" thickBot="1" x14ac:dyDescent="0.3">
      <c r="B30" s="843"/>
      <c r="C30" s="843"/>
      <c r="D30" s="843"/>
      <c r="E30" s="843"/>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M30" s="843"/>
      <c r="AN30" s="843"/>
      <c r="AO30" s="843"/>
    </row>
    <row r="31" spans="2:41" ht="21.75" customHeight="1" x14ac:dyDescent="0.25">
      <c r="B31" s="589" t="s">
        <v>501</v>
      </c>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c r="AN31" s="590"/>
      <c r="AO31" s="591"/>
    </row>
    <row r="32" spans="2:41" ht="30" customHeight="1" x14ac:dyDescent="0.25">
      <c r="B32" s="1092" t="s">
        <v>104</v>
      </c>
      <c r="C32" s="1093"/>
      <c r="D32" s="762" t="s">
        <v>162</v>
      </c>
      <c r="E32" s="763"/>
      <c r="F32" s="763"/>
      <c r="G32" s="763"/>
      <c r="H32" s="763"/>
      <c r="I32" s="763"/>
      <c r="J32" s="763"/>
      <c r="K32" s="763"/>
      <c r="L32" s="763"/>
      <c r="M32" s="763"/>
      <c r="N32" s="763"/>
      <c r="O32" s="763"/>
      <c r="P32" s="763"/>
      <c r="Q32" s="763"/>
      <c r="R32" s="763"/>
      <c r="S32" s="763"/>
      <c r="T32" s="763"/>
      <c r="U32" s="763"/>
      <c r="V32" s="763"/>
      <c r="W32" s="763"/>
      <c r="X32" s="763"/>
      <c r="Y32" s="763"/>
      <c r="Z32" s="763"/>
      <c r="AA32" s="764"/>
      <c r="AB32" s="762" t="s">
        <v>449</v>
      </c>
      <c r="AC32" s="764"/>
      <c r="AD32" s="762" t="s">
        <v>108</v>
      </c>
      <c r="AE32" s="763"/>
      <c r="AF32" s="763"/>
      <c r="AG32" s="764"/>
      <c r="AH32" s="763" t="s">
        <v>448</v>
      </c>
      <c r="AI32" s="763"/>
      <c r="AJ32" s="763"/>
      <c r="AK32" s="764"/>
      <c r="AL32" s="765" t="s">
        <v>450</v>
      </c>
      <c r="AM32" s="766"/>
      <c r="AN32" s="766"/>
      <c r="AO32" s="787"/>
    </row>
    <row r="33" spans="2:41" ht="16.149999999999999" customHeight="1" x14ac:dyDescent="0.25">
      <c r="B33" s="694"/>
      <c r="C33" s="695"/>
      <c r="D33" s="699"/>
      <c r="E33" s="700"/>
      <c r="F33" s="700"/>
      <c r="G33" s="700"/>
      <c r="H33" s="700"/>
      <c r="I33" s="700"/>
      <c r="J33" s="700"/>
      <c r="K33" s="700"/>
      <c r="L33" s="700"/>
      <c r="M33" s="700"/>
      <c r="N33" s="700"/>
      <c r="O33" s="700"/>
      <c r="P33" s="700"/>
      <c r="Q33" s="700"/>
      <c r="R33" s="700"/>
      <c r="S33" s="700"/>
      <c r="T33" s="700"/>
      <c r="U33" s="700"/>
      <c r="V33" s="700"/>
      <c r="W33" s="700"/>
      <c r="X33" s="700"/>
      <c r="Y33" s="700"/>
      <c r="Z33" s="700"/>
      <c r="AA33" s="701"/>
      <c r="AB33" s="1076"/>
      <c r="AC33" s="703"/>
      <c r="AD33" s="705"/>
      <c r="AE33" s="705"/>
      <c r="AF33" s="705"/>
      <c r="AG33" s="706"/>
      <c r="AH33" s="697" t="str">
        <f t="shared" ref="AH33:AH38" si="0">IF(ISBLANK(AD33),"",AD33)</f>
        <v/>
      </c>
      <c r="AI33" s="697"/>
      <c r="AJ33" s="697"/>
      <c r="AK33" s="707"/>
      <c r="AL33" s="697" t="str">
        <f t="shared" ref="AL33:AL38" si="1">IF(ISBLANK(AD33),"",AD33-AH33)</f>
        <v/>
      </c>
      <c r="AM33" s="697"/>
      <c r="AN33" s="697"/>
      <c r="AO33" s="698"/>
    </row>
    <row r="34" spans="2:41" ht="16.149999999999999" customHeight="1" x14ac:dyDescent="0.25">
      <c r="B34" s="694"/>
      <c r="C34" s="695"/>
      <c r="D34" s="699"/>
      <c r="E34" s="700"/>
      <c r="F34" s="700"/>
      <c r="G34" s="700"/>
      <c r="H34" s="700"/>
      <c r="I34" s="700"/>
      <c r="J34" s="700"/>
      <c r="K34" s="700"/>
      <c r="L34" s="700"/>
      <c r="M34" s="700"/>
      <c r="N34" s="700"/>
      <c r="O34" s="700"/>
      <c r="P34" s="700"/>
      <c r="Q34" s="700"/>
      <c r="R34" s="700"/>
      <c r="S34" s="700"/>
      <c r="T34" s="700"/>
      <c r="U34" s="700"/>
      <c r="V34" s="700"/>
      <c r="W34" s="700"/>
      <c r="X34" s="700"/>
      <c r="Y34" s="700"/>
      <c r="Z34" s="700"/>
      <c r="AA34" s="701"/>
      <c r="AB34" s="1076"/>
      <c r="AC34" s="703"/>
      <c r="AD34" s="705"/>
      <c r="AE34" s="705"/>
      <c r="AF34" s="705"/>
      <c r="AG34" s="706"/>
      <c r="AH34" s="697" t="str">
        <f t="shared" si="0"/>
        <v/>
      </c>
      <c r="AI34" s="697"/>
      <c r="AJ34" s="697"/>
      <c r="AK34" s="707"/>
      <c r="AL34" s="697" t="str">
        <f t="shared" ref="AL34" si="2">IF(ISBLANK(AD34),"",AD34-AH34)</f>
        <v/>
      </c>
      <c r="AM34" s="697"/>
      <c r="AN34" s="697"/>
      <c r="AO34" s="698"/>
    </row>
    <row r="35" spans="2:41" ht="16.149999999999999" customHeight="1" x14ac:dyDescent="0.25">
      <c r="B35" s="694"/>
      <c r="C35" s="695"/>
      <c r="D35" s="699"/>
      <c r="E35" s="700"/>
      <c r="F35" s="700"/>
      <c r="G35" s="700"/>
      <c r="H35" s="700"/>
      <c r="I35" s="700"/>
      <c r="J35" s="700"/>
      <c r="K35" s="700"/>
      <c r="L35" s="700"/>
      <c r="M35" s="700"/>
      <c r="N35" s="700"/>
      <c r="O35" s="700"/>
      <c r="P35" s="700"/>
      <c r="Q35" s="700"/>
      <c r="R35" s="700"/>
      <c r="S35" s="700"/>
      <c r="T35" s="700"/>
      <c r="U35" s="700"/>
      <c r="V35" s="700"/>
      <c r="W35" s="700"/>
      <c r="X35" s="700"/>
      <c r="Y35" s="700"/>
      <c r="Z35" s="700"/>
      <c r="AA35" s="701"/>
      <c r="AB35" s="1076"/>
      <c r="AC35" s="703"/>
      <c r="AD35" s="705"/>
      <c r="AE35" s="705"/>
      <c r="AF35" s="705"/>
      <c r="AG35" s="706"/>
      <c r="AH35" s="697" t="str">
        <f t="shared" si="0"/>
        <v/>
      </c>
      <c r="AI35" s="697"/>
      <c r="AJ35" s="697"/>
      <c r="AK35" s="707"/>
      <c r="AL35" s="697" t="str">
        <f t="shared" si="1"/>
        <v/>
      </c>
      <c r="AM35" s="697"/>
      <c r="AN35" s="697"/>
      <c r="AO35" s="698"/>
    </row>
    <row r="36" spans="2:41" ht="16.149999999999999" customHeight="1" x14ac:dyDescent="0.25">
      <c r="B36" s="694"/>
      <c r="C36" s="695"/>
      <c r="D36" s="699"/>
      <c r="E36" s="700"/>
      <c r="F36" s="700"/>
      <c r="G36" s="700"/>
      <c r="H36" s="700"/>
      <c r="I36" s="700"/>
      <c r="J36" s="700"/>
      <c r="K36" s="700"/>
      <c r="L36" s="700"/>
      <c r="M36" s="700"/>
      <c r="N36" s="700"/>
      <c r="O36" s="700"/>
      <c r="P36" s="700"/>
      <c r="Q36" s="700"/>
      <c r="R36" s="700"/>
      <c r="S36" s="700"/>
      <c r="T36" s="700"/>
      <c r="U36" s="700"/>
      <c r="V36" s="700"/>
      <c r="W36" s="700"/>
      <c r="X36" s="700"/>
      <c r="Y36" s="700"/>
      <c r="Z36" s="700"/>
      <c r="AA36" s="701"/>
      <c r="AB36" s="1076"/>
      <c r="AC36" s="703"/>
      <c r="AD36" s="705"/>
      <c r="AE36" s="705"/>
      <c r="AF36" s="705"/>
      <c r="AG36" s="706"/>
      <c r="AH36" s="697" t="str">
        <f t="shared" si="0"/>
        <v/>
      </c>
      <c r="AI36" s="697"/>
      <c r="AJ36" s="697"/>
      <c r="AK36" s="707"/>
      <c r="AL36" s="697" t="str">
        <f t="shared" si="1"/>
        <v/>
      </c>
      <c r="AM36" s="697"/>
      <c r="AN36" s="697"/>
      <c r="AO36" s="698"/>
    </row>
    <row r="37" spans="2:41" ht="16.149999999999999" customHeight="1" x14ac:dyDescent="0.25">
      <c r="B37" s="694"/>
      <c r="C37" s="695"/>
      <c r="D37" s="699"/>
      <c r="E37" s="700"/>
      <c r="F37" s="700"/>
      <c r="G37" s="700"/>
      <c r="H37" s="700"/>
      <c r="I37" s="700"/>
      <c r="J37" s="700"/>
      <c r="K37" s="700"/>
      <c r="L37" s="700"/>
      <c r="M37" s="700"/>
      <c r="N37" s="700"/>
      <c r="O37" s="700"/>
      <c r="P37" s="700"/>
      <c r="Q37" s="700"/>
      <c r="R37" s="700"/>
      <c r="S37" s="700"/>
      <c r="T37" s="700"/>
      <c r="U37" s="700"/>
      <c r="V37" s="700"/>
      <c r="W37" s="700"/>
      <c r="X37" s="700"/>
      <c r="Y37" s="700"/>
      <c r="Z37" s="700"/>
      <c r="AA37" s="701"/>
      <c r="AB37" s="1076"/>
      <c r="AC37" s="703"/>
      <c r="AD37" s="705"/>
      <c r="AE37" s="705"/>
      <c r="AF37" s="705"/>
      <c r="AG37" s="706"/>
      <c r="AH37" s="697" t="str">
        <f t="shared" si="0"/>
        <v/>
      </c>
      <c r="AI37" s="697"/>
      <c r="AJ37" s="697"/>
      <c r="AK37" s="707"/>
      <c r="AL37" s="697" t="str">
        <f t="shared" si="1"/>
        <v/>
      </c>
      <c r="AM37" s="697"/>
      <c r="AN37" s="697"/>
      <c r="AO37" s="698"/>
    </row>
    <row r="38" spans="2:41" ht="16.149999999999999" customHeight="1" thickBot="1" x14ac:dyDescent="0.3">
      <c r="B38" s="741"/>
      <c r="C38" s="742"/>
      <c r="D38" s="911"/>
      <c r="E38" s="912"/>
      <c r="F38" s="912"/>
      <c r="G38" s="912"/>
      <c r="H38" s="912"/>
      <c r="I38" s="912"/>
      <c r="J38" s="912"/>
      <c r="K38" s="912"/>
      <c r="L38" s="912"/>
      <c r="M38" s="912"/>
      <c r="N38" s="912"/>
      <c r="O38" s="912"/>
      <c r="P38" s="912"/>
      <c r="Q38" s="912"/>
      <c r="R38" s="912"/>
      <c r="S38" s="912"/>
      <c r="T38" s="912"/>
      <c r="U38" s="912"/>
      <c r="V38" s="912"/>
      <c r="W38" s="912"/>
      <c r="X38" s="912"/>
      <c r="Y38" s="912"/>
      <c r="Z38" s="912"/>
      <c r="AA38" s="913"/>
      <c r="AB38" s="1094"/>
      <c r="AC38" s="915"/>
      <c r="AD38" s="917"/>
      <c r="AE38" s="917"/>
      <c r="AF38" s="917"/>
      <c r="AG38" s="918"/>
      <c r="AH38" s="920" t="str">
        <f t="shared" si="0"/>
        <v/>
      </c>
      <c r="AI38" s="920"/>
      <c r="AJ38" s="920"/>
      <c r="AK38" s="921"/>
      <c r="AL38" s="920" t="str">
        <f t="shared" si="1"/>
        <v/>
      </c>
      <c r="AM38" s="920"/>
      <c r="AN38" s="920"/>
      <c r="AO38" s="922"/>
    </row>
    <row r="39" spans="2:41" ht="18" customHeight="1" thickTop="1" thickBot="1" x14ac:dyDescent="0.3">
      <c r="B39" s="923" t="s">
        <v>452</v>
      </c>
      <c r="C39" s="924"/>
      <c r="D39" s="924"/>
      <c r="E39" s="924"/>
      <c r="F39" s="924"/>
      <c r="G39" s="924"/>
      <c r="H39" s="924"/>
      <c r="I39" s="924"/>
      <c r="J39" s="924"/>
      <c r="K39" s="924"/>
      <c r="L39" s="924"/>
      <c r="M39" s="924"/>
      <c r="N39" s="924"/>
      <c r="O39" s="924"/>
      <c r="P39" s="924"/>
      <c r="Q39" s="924"/>
      <c r="R39" s="924"/>
      <c r="S39" s="924"/>
      <c r="T39" s="924"/>
      <c r="U39" s="924"/>
      <c r="V39" s="924"/>
      <c r="W39" s="924"/>
      <c r="X39" s="924"/>
      <c r="Y39" s="924"/>
      <c r="Z39" s="924"/>
      <c r="AA39" s="924"/>
      <c r="AB39" s="924"/>
      <c r="AC39" s="925"/>
      <c r="AD39" s="823">
        <f>SUM(AD33:AG38)</f>
        <v>0</v>
      </c>
      <c r="AE39" s="823"/>
      <c r="AF39" s="823"/>
      <c r="AG39" s="824"/>
      <c r="AH39" s="823">
        <f>SUM(AH33:AK38)</f>
        <v>0</v>
      </c>
      <c r="AI39" s="823"/>
      <c r="AJ39" s="823"/>
      <c r="AK39" s="824"/>
      <c r="AL39" s="1074">
        <f>SUM(AL33:AO38)</f>
        <v>0</v>
      </c>
      <c r="AM39" s="1074"/>
      <c r="AN39" s="1074"/>
      <c r="AO39" s="1075"/>
    </row>
    <row r="40" spans="2:41" ht="3.6" customHeight="1" thickBot="1" x14ac:dyDescent="0.3">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row>
    <row r="41" spans="2:41" ht="16.149999999999999" customHeight="1" x14ac:dyDescent="0.25">
      <c r="B41" s="589" t="s">
        <v>507</v>
      </c>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1"/>
    </row>
    <row r="42" spans="2:41" ht="30" customHeight="1" x14ac:dyDescent="0.25">
      <c r="B42" s="1092" t="s">
        <v>104</v>
      </c>
      <c r="C42" s="1093"/>
      <c r="D42" s="762" t="s">
        <v>162</v>
      </c>
      <c r="E42" s="763"/>
      <c r="F42" s="763"/>
      <c r="G42" s="763"/>
      <c r="H42" s="763"/>
      <c r="I42" s="763"/>
      <c r="J42" s="763"/>
      <c r="K42" s="763"/>
      <c r="L42" s="763"/>
      <c r="M42" s="763"/>
      <c r="N42" s="763"/>
      <c r="O42" s="763"/>
      <c r="P42" s="763"/>
      <c r="Q42" s="763"/>
      <c r="R42" s="763"/>
      <c r="S42" s="763"/>
      <c r="T42" s="763"/>
      <c r="U42" s="763"/>
      <c r="V42" s="763"/>
      <c r="W42" s="763"/>
      <c r="X42" s="763"/>
      <c r="Y42" s="763"/>
      <c r="Z42" s="763"/>
      <c r="AA42" s="764"/>
      <c r="AB42" s="762" t="s">
        <v>449</v>
      </c>
      <c r="AC42" s="764"/>
      <c r="AD42" s="762" t="s">
        <v>108</v>
      </c>
      <c r="AE42" s="763"/>
      <c r="AF42" s="763"/>
      <c r="AG42" s="764"/>
      <c r="AH42" s="763" t="s">
        <v>448</v>
      </c>
      <c r="AI42" s="763"/>
      <c r="AJ42" s="763"/>
      <c r="AK42" s="764"/>
      <c r="AL42" s="765" t="s">
        <v>450</v>
      </c>
      <c r="AM42" s="766"/>
      <c r="AN42" s="766"/>
      <c r="AO42" s="787"/>
    </row>
    <row r="43" spans="2:41" ht="16.149999999999999" customHeight="1" x14ac:dyDescent="0.25">
      <c r="B43" s="694"/>
      <c r="C43" s="695"/>
      <c r="D43" s="699"/>
      <c r="E43" s="700"/>
      <c r="F43" s="700"/>
      <c r="G43" s="700"/>
      <c r="H43" s="700"/>
      <c r="I43" s="700"/>
      <c r="J43" s="700"/>
      <c r="K43" s="700"/>
      <c r="L43" s="700"/>
      <c r="M43" s="700"/>
      <c r="N43" s="700"/>
      <c r="O43" s="700"/>
      <c r="P43" s="700"/>
      <c r="Q43" s="700"/>
      <c r="R43" s="700"/>
      <c r="S43" s="700"/>
      <c r="T43" s="700"/>
      <c r="U43" s="700"/>
      <c r="V43" s="700"/>
      <c r="W43" s="700"/>
      <c r="X43" s="700"/>
      <c r="Y43" s="700"/>
      <c r="Z43" s="700"/>
      <c r="AA43" s="701"/>
      <c r="AB43" s="1076"/>
      <c r="AC43" s="703"/>
      <c r="AD43" s="705"/>
      <c r="AE43" s="705"/>
      <c r="AF43" s="705"/>
      <c r="AG43" s="706"/>
      <c r="AH43" s="697" t="str">
        <f>IF(ISBLANK(AD43),"",AD43)</f>
        <v/>
      </c>
      <c r="AI43" s="697"/>
      <c r="AJ43" s="697"/>
      <c r="AK43" s="707"/>
      <c r="AL43" s="697" t="str">
        <f t="shared" ref="AL43:AL45" si="3">IF(ISBLANK(AD43),"",AD43-AH43)</f>
        <v/>
      </c>
      <c r="AM43" s="697"/>
      <c r="AN43" s="697"/>
      <c r="AO43" s="698"/>
    </row>
    <row r="44" spans="2:41" ht="16.149999999999999" customHeight="1" x14ac:dyDescent="0.25">
      <c r="B44" s="694"/>
      <c r="C44" s="695"/>
      <c r="D44" s="699"/>
      <c r="E44" s="700"/>
      <c r="F44" s="700"/>
      <c r="G44" s="700"/>
      <c r="H44" s="700"/>
      <c r="I44" s="700"/>
      <c r="J44" s="700"/>
      <c r="K44" s="700"/>
      <c r="L44" s="700"/>
      <c r="M44" s="700"/>
      <c r="N44" s="700"/>
      <c r="O44" s="700"/>
      <c r="P44" s="700"/>
      <c r="Q44" s="700"/>
      <c r="R44" s="700"/>
      <c r="S44" s="700"/>
      <c r="T44" s="700"/>
      <c r="U44" s="700"/>
      <c r="V44" s="700"/>
      <c r="W44" s="700"/>
      <c r="X44" s="700"/>
      <c r="Y44" s="700"/>
      <c r="Z44" s="700"/>
      <c r="AA44" s="701"/>
      <c r="AB44" s="1076"/>
      <c r="AC44" s="703"/>
      <c r="AD44" s="705"/>
      <c r="AE44" s="705"/>
      <c r="AF44" s="705"/>
      <c r="AG44" s="706"/>
      <c r="AH44" s="697" t="str">
        <f t="shared" ref="AH44:AH45" si="4">IF(ISBLANK(AD44),"",AD44)</f>
        <v/>
      </c>
      <c r="AI44" s="697"/>
      <c r="AJ44" s="697"/>
      <c r="AK44" s="707"/>
      <c r="AL44" s="697" t="str">
        <f t="shared" si="3"/>
        <v/>
      </c>
      <c r="AM44" s="697"/>
      <c r="AN44" s="697"/>
      <c r="AO44" s="698"/>
    </row>
    <row r="45" spans="2:41" ht="16.149999999999999" customHeight="1" thickBot="1" x14ac:dyDescent="0.3">
      <c r="B45" s="694"/>
      <c r="C45" s="695"/>
      <c r="D45" s="699"/>
      <c r="E45" s="700"/>
      <c r="F45" s="700"/>
      <c r="G45" s="700"/>
      <c r="H45" s="700"/>
      <c r="I45" s="700"/>
      <c r="J45" s="700"/>
      <c r="K45" s="700"/>
      <c r="L45" s="700"/>
      <c r="M45" s="700"/>
      <c r="N45" s="700"/>
      <c r="O45" s="700"/>
      <c r="P45" s="700"/>
      <c r="Q45" s="700"/>
      <c r="R45" s="700"/>
      <c r="S45" s="700"/>
      <c r="T45" s="700"/>
      <c r="U45" s="700"/>
      <c r="V45" s="700"/>
      <c r="W45" s="700"/>
      <c r="X45" s="700"/>
      <c r="Y45" s="700"/>
      <c r="Z45" s="700"/>
      <c r="AA45" s="701"/>
      <c r="AB45" s="1076"/>
      <c r="AC45" s="703"/>
      <c r="AD45" s="705"/>
      <c r="AE45" s="705"/>
      <c r="AF45" s="705"/>
      <c r="AG45" s="706"/>
      <c r="AH45" s="697" t="str">
        <f t="shared" si="4"/>
        <v/>
      </c>
      <c r="AI45" s="697"/>
      <c r="AJ45" s="697"/>
      <c r="AK45" s="707"/>
      <c r="AL45" s="697" t="str">
        <f t="shared" si="3"/>
        <v/>
      </c>
      <c r="AM45" s="697"/>
      <c r="AN45" s="697"/>
      <c r="AO45" s="698"/>
    </row>
    <row r="46" spans="2:41" ht="16.149999999999999" customHeight="1" thickTop="1" thickBot="1" x14ac:dyDescent="0.3">
      <c r="B46" s="923" t="s">
        <v>451</v>
      </c>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5"/>
      <c r="AD46" s="823">
        <f>SUM(AD43:AG45)</f>
        <v>0</v>
      </c>
      <c r="AE46" s="823"/>
      <c r="AF46" s="823"/>
      <c r="AG46" s="824"/>
      <c r="AH46" s="823">
        <f>SUM(AH43:AK45)</f>
        <v>0</v>
      </c>
      <c r="AI46" s="823"/>
      <c r="AJ46" s="823"/>
      <c r="AK46" s="824"/>
      <c r="AL46" s="1074">
        <f>SUM(AL43:AO45)</f>
        <v>0</v>
      </c>
      <c r="AM46" s="1074"/>
      <c r="AN46" s="1074"/>
      <c r="AO46" s="1075"/>
    </row>
    <row r="47" spans="2:41" ht="3.6" customHeight="1" thickBot="1" x14ac:dyDescent="0.3">
      <c r="B47" s="598"/>
      <c r="C47" s="598"/>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c r="AO47" s="598"/>
    </row>
    <row r="48" spans="2:41" ht="21.6" customHeight="1" thickBot="1" x14ac:dyDescent="0.3">
      <c r="B48" s="574" t="s">
        <v>508</v>
      </c>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6"/>
    </row>
    <row r="49" spans="2:41" s="2" customFormat="1" ht="21.6" customHeight="1" x14ac:dyDescent="0.25">
      <c r="B49" s="746" t="s">
        <v>163</v>
      </c>
      <c r="C49" s="727"/>
      <c r="D49" s="727"/>
      <c r="E49" s="727"/>
      <c r="F49" s="727"/>
      <c r="G49" s="727"/>
      <c r="H49" s="727"/>
      <c r="I49" s="728"/>
      <c r="J49" s="691">
        <f>SUMIF(B:C,"A",X:AC)+SUMIF(B33:C38,"A",AD33:AG38)+SUMIF(B43:C45,"A",AD43:AG45)</f>
        <v>0</v>
      </c>
      <c r="K49" s="692"/>
      <c r="L49" s="692"/>
      <c r="M49" s="692"/>
      <c r="N49" s="693"/>
      <c r="O49" s="726" t="s">
        <v>164</v>
      </c>
      <c r="P49" s="727"/>
      <c r="Q49" s="727"/>
      <c r="R49" s="727"/>
      <c r="S49" s="727"/>
      <c r="T49" s="727"/>
      <c r="U49" s="727"/>
      <c r="V49" s="727"/>
      <c r="W49" s="728"/>
      <c r="X49" s="691">
        <f>IF(AND(B13="A",NOT(ISBLANK(X13))),AD13,0)+IF(AND(B15="A",NOT(ISBLANK(X15))),AD15,0)+IF(AND(B17="A",NOT(ISBLANK(X17))),AD17,0)+IF(AND(B19="A",NOT(ISBLANK(X19))),AD19,0)+IF(AND(B21="A",NOT(ISBLANK(X21))),AD21,0)+IF(AND(B23="A",NOT(ISBLANK(X23))),AD23,0)+IF(AND(B26="A",NOT(ISBLANK(X26))),AD26,0)+SUMIF(B43:C45,"A",AH43:AK45)+SUMIF(B33:C38,"A",AH33:AK38)</f>
        <v>0</v>
      </c>
      <c r="Y49" s="692"/>
      <c r="Z49" s="692"/>
      <c r="AA49" s="692"/>
      <c r="AB49" s="693"/>
      <c r="AC49" s="726" t="s">
        <v>166</v>
      </c>
      <c r="AD49" s="727"/>
      <c r="AE49" s="727"/>
      <c r="AF49" s="727"/>
      <c r="AG49" s="727"/>
      <c r="AH49" s="727"/>
      <c r="AI49" s="727"/>
      <c r="AJ49" s="728"/>
      <c r="AK49" s="1070">
        <f>J49-X49</f>
        <v>0</v>
      </c>
      <c r="AL49" s="1070"/>
      <c r="AM49" s="1070"/>
      <c r="AN49" s="1070"/>
      <c r="AO49" s="1071"/>
    </row>
    <row r="50" spans="2:41" s="2" customFormat="1" ht="21.6" customHeight="1" x14ac:dyDescent="0.25">
      <c r="B50" s="863" t="s">
        <v>167</v>
      </c>
      <c r="C50" s="855"/>
      <c r="D50" s="855"/>
      <c r="E50" s="855"/>
      <c r="F50" s="855"/>
      <c r="G50" s="855"/>
      <c r="H50" s="855"/>
      <c r="I50" s="856"/>
      <c r="J50" s="857">
        <f>SUMIF(B:C,"B",X:AC)+SUMIF(B33:C38,"B",AD33:AG38)+SUMIF(B43:C45,"B",AD43:AG45)</f>
        <v>0</v>
      </c>
      <c r="K50" s="858"/>
      <c r="L50" s="858"/>
      <c r="M50" s="858"/>
      <c r="N50" s="864"/>
      <c r="O50" s="854" t="s">
        <v>168</v>
      </c>
      <c r="P50" s="855"/>
      <c r="Q50" s="855"/>
      <c r="R50" s="855"/>
      <c r="S50" s="855"/>
      <c r="T50" s="855"/>
      <c r="U50" s="855"/>
      <c r="V50" s="855"/>
      <c r="W50" s="856"/>
      <c r="X50" s="857">
        <f>IF(AND(B13="B",NOT(ISBLANK(X13))),AD13,0)+IF(AND(B15="B",NOT(ISBLANK(X15))),AD15,0)+IF(AND(B17="B",NOT(ISBLANK(X17))),AD17,0)+IF(AND(B19="B",NOT(ISBLANK(X19))),AD19,0)+IF(AND(B21="B",NOT(ISBLANK(X21))),AD21,0)+IF(AND(B23="B",NOT(ISBLANK(X23))),AD23,0)+IF(AND(B26="B",NOT(ISBLANK(X26))),AD26,0)+SUMIF(B43:C45,"B",AH43:AK45)+SUMIF(B33:C38,"B",AH33:AK38)</f>
        <v>0</v>
      </c>
      <c r="Y50" s="858"/>
      <c r="Z50" s="858"/>
      <c r="AA50" s="858"/>
      <c r="AB50" s="864"/>
      <c r="AC50" s="854" t="s">
        <v>166</v>
      </c>
      <c r="AD50" s="855"/>
      <c r="AE50" s="855"/>
      <c r="AF50" s="855"/>
      <c r="AG50" s="855"/>
      <c r="AH50" s="855"/>
      <c r="AI50" s="855"/>
      <c r="AJ50" s="856"/>
      <c r="AK50" s="1072">
        <f>J50-X50</f>
        <v>0</v>
      </c>
      <c r="AL50" s="1072"/>
      <c r="AM50" s="1072"/>
      <c r="AN50" s="1072"/>
      <c r="AO50" s="1073"/>
    </row>
    <row r="51" spans="2:41" s="2" customFormat="1" ht="21.6" customHeight="1" x14ac:dyDescent="0.25">
      <c r="B51" s="1084" t="s">
        <v>394</v>
      </c>
      <c r="C51" s="1085"/>
      <c r="D51" s="1085"/>
      <c r="E51" s="1085"/>
      <c r="F51" s="1085"/>
      <c r="G51" s="1085"/>
      <c r="H51" s="1085"/>
      <c r="I51" s="1085"/>
      <c r="J51" s="1085"/>
      <c r="K51" s="1085"/>
      <c r="L51" s="1085"/>
      <c r="M51" s="1085"/>
      <c r="N51" s="1085"/>
      <c r="O51" s="1085"/>
      <c r="P51" s="1085"/>
      <c r="Q51" s="1085"/>
      <c r="R51" s="1085"/>
      <c r="S51" s="1085"/>
      <c r="T51" s="1085"/>
      <c r="U51" s="1085"/>
      <c r="V51" s="1085"/>
      <c r="W51" s="1085"/>
      <c r="X51" s="1085"/>
      <c r="Y51" s="1085"/>
      <c r="Z51" s="1085"/>
      <c r="AA51" s="1085"/>
      <c r="AB51" s="1085"/>
      <c r="AC51" s="1085"/>
      <c r="AD51" s="1085"/>
      <c r="AE51" s="1085"/>
      <c r="AF51" s="1085"/>
      <c r="AG51" s="1085"/>
      <c r="AH51" s="1085"/>
      <c r="AI51" s="1085"/>
      <c r="AJ51" s="1085"/>
      <c r="AK51" s="1086">
        <f>J49+J50</f>
        <v>0</v>
      </c>
      <c r="AL51" s="1087"/>
      <c r="AM51" s="1087"/>
      <c r="AN51" s="1087"/>
      <c r="AO51" s="1088"/>
    </row>
    <row r="52" spans="2:41" s="2" customFormat="1" ht="21.6" customHeight="1" x14ac:dyDescent="0.25">
      <c r="B52" s="1084" t="s">
        <v>49</v>
      </c>
      <c r="C52" s="1085"/>
      <c r="D52" s="1085"/>
      <c r="E52" s="1085"/>
      <c r="F52" s="1085"/>
      <c r="G52" s="1085"/>
      <c r="H52" s="1085"/>
      <c r="I52" s="1085"/>
      <c r="J52" s="1085"/>
      <c r="K52" s="1085"/>
      <c r="L52" s="1085"/>
      <c r="M52" s="1085"/>
      <c r="N52" s="1085"/>
      <c r="O52" s="1085"/>
      <c r="P52" s="1085"/>
      <c r="Q52" s="1085"/>
      <c r="R52" s="1085"/>
      <c r="S52" s="1085"/>
      <c r="T52" s="1085"/>
      <c r="U52" s="1085"/>
      <c r="V52" s="1085"/>
      <c r="W52" s="1085"/>
      <c r="X52" s="1085"/>
      <c r="Y52" s="1085"/>
      <c r="Z52" s="1085"/>
      <c r="AA52" s="1085"/>
      <c r="AB52" s="1085"/>
      <c r="AC52" s="1085"/>
      <c r="AD52" s="1085"/>
      <c r="AE52" s="1085"/>
      <c r="AF52" s="1085"/>
      <c r="AG52" s="1085"/>
      <c r="AH52" s="1085"/>
      <c r="AI52" s="1085"/>
      <c r="AJ52" s="1085"/>
      <c r="AK52" s="1086">
        <f>X49+X50</f>
        <v>0</v>
      </c>
      <c r="AL52" s="1087"/>
      <c r="AM52" s="1087"/>
      <c r="AN52" s="1087"/>
      <c r="AO52" s="1088"/>
    </row>
    <row r="53" spans="2:41" s="2" customFormat="1" ht="21.6" customHeight="1" thickBot="1" x14ac:dyDescent="0.3">
      <c r="B53" s="1079" t="s">
        <v>506</v>
      </c>
      <c r="C53" s="1080"/>
      <c r="D53" s="1080"/>
      <c r="E53" s="1080"/>
      <c r="F53" s="1080"/>
      <c r="G53" s="1080"/>
      <c r="H53" s="1080"/>
      <c r="I53" s="1080"/>
      <c r="J53" s="1080"/>
      <c r="K53" s="1080"/>
      <c r="L53" s="1080"/>
      <c r="M53" s="1080"/>
      <c r="N53" s="1080"/>
      <c r="O53" s="1080"/>
      <c r="P53" s="1080"/>
      <c r="Q53" s="1080"/>
      <c r="R53" s="1080"/>
      <c r="S53" s="1080"/>
      <c r="T53" s="1080"/>
      <c r="U53" s="1080"/>
      <c r="V53" s="1080"/>
      <c r="W53" s="1080"/>
      <c r="X53" s="1080"/>
      <c r="Y53" s="1080"/>
      <c r="Z53" s="1080"/>
      <c r="AA53" s="1080"/>
      <c r="AB53" s="1080"/>
      <c r="AC53" s="1080"/>
      <c r="AD53" s="1080"/>
      <c r="AE53" s="1080"/>
      <c r="AF53" s="1080"/>
      <c r="AG53" s="1080"/>
      <c r="AH53" s="1080"/>
      <c r="AI53" s="1080"/>
      <c r="AJ53" s="1080"/>
      <c r="AK53" s="1081">
        <f>AK51-AK52</f>
        <v>0</v>
      </c>
      <c r="AL53" s="1082"/>
      <c r="AM53" s="1082"/>
      <c r="AN53" s="1082"/>
      <c r="AO53" s="1083"/>
    </row>
    <row r="54" spans="2:41" s="2" customFormat="1" ht="21.6" hidden="1" customHeight="1" thickBot="1" x14ac:dyDescent="0.3">
      <c r="B54" s="1079" t="s">
        <v>457</v>
      </c>
      <c r="C54" s="1080"/>
      <c r="D54" s="1080"/>
      <c r="E54" s="1080"/>
      <c r="F54" s="1080"/>
      <c r="G54" s="1080"/>
      <c r="H54" s="1080"/>
      <c r="I54" s="1080"/>
      <c r="J54" s="1080"/>
      <c r="K54" s="1080"/>
      <c r="L54" s="1080"/>
      <c r="M54" s="1080"/>
      <c r="N54" s="1080"/>
      <c r="O54" s="1080"/>
      <c r="P54" s="1080"/>
      <c r="Q54" s="1080"/>
      <c r="R54" s="1080"/>
      <c r="S54" s="1080"/>
      <c r="T54" s="1080"/>
      <c r="U54" s="1080"/>
      <c r="V54" s="1080"/>
      <c r="W54" s="1080"/>
      <c r="X54" s="1080"/>
      <c r="Y54" s="1080"/>
      <c r="Z54" s="1080"/>
      <c r="AA54" s="1080"/>
      <c r="AB54" s="1080"/>
      <c r="AC54" s="1080"/>
      <c r="AD54" s="1080"/>
      <c r="AE54" s="1080"/>
      <c r="AF54" s="1080"/>
      <c r="AG54" s="1080"/>
      <c r="AH54" s="1080"/>
      <c r="AI54" s="1080"/>
      <c r="AJ54" s="1080"/>
      <c r="AK54" s="1089" t="str">
        <f>IF('Project Score'!G31=0,"0",'Project Score'!C35)</f>
        <v>0</v>
      </c>
      <c r="AL54" s="1089"/>
      <c r="AM54" s="1089"/>
      <c r="AN54" s="1089"/>
      <c r="AO54" s="1090"/>
    </row>
    <row r="55" spans="2:41" ht="3.6" customHeight="1" thickBot="1" x14ac:dyDescent="0.3">
      <c r="B55" s="1091"/>
      <c r="C55" s="1091"/>
      <c r="D55" s="1091"/>
      <c r="E55" s="1091"/>
      <c r="F55" s="1091"/>
      <c r="G55" s="1091"/>
      <c r="H55" s="1091"/>
      <c r="I55" s="1091"/>
      <c r="J55" s="1091"/>
      <c r="K55" s="1091"/>
      <c r="L55" s="1091"/>
      <c r="M55" s="1091"/>
      <c r="N55" s="1091"/>
      <c r="O55" s="1091"/>
      <c r="P55" s="1091"/>
      <c r="Q55" s="1091"/>
      <c r="R55" s="1091"/>
      <c r="S55" s="1091"/>
      <c r="T55" s="1091"/>
      <c r="U55" s="1091"/>
      <c r="V55" s="1091"/>
      <c r="W55" s="1091"/>
      <c r="X55" s="1091"/>
      <c r="Y55" s="1091"/>
      <c r="Z55" s="1091"/>
      <c r="AA55" s="1091"/>
      <c r="AB55" s="1091"/>
      <c r="AC55" s="1091"/>
      <c r="AD55" s="1091"/>
      <c r="AE55" s="1091"/>
      <c r="AF55" s="1091"/>
      <c r="AG55" s="1091"/>
      <c r="AH55" s="1091"/>
      <c r="AI55" s="1091"/>
      <c r="AJ55" s="1091"/>
      <c r="AK55" s="1091"/>
      <c r="AL55" s="1091"/>
      <c r="AM55" s="1091"/>
      <c r="AN55" s="1091"/>
      <c r="AO55" s="1091"/>
    </row>
    <row r="56" spans="2:41" s="2" customFormat="1" ht="21.6" customHeight="1" thickBot="1" x14ac:dyDescent="0.3">
      <c r="B56" s="869"/>
      <c r="C56" s="870"/>
      <c r="D56" s="871" t="s">
        <v>179</v>
      </c>
      <c r="E56" s="871"/>
      <c r="F56" s="871"/>
      <c r="G56" s="871"/>
      <c r="H56" s="871"/>
      <c r="I56" s="871"/>
      <c r="J56" s="871"/>
      <c r="K56" s="871"/>
      <c r="L56" s="871"/>
      <c r="M56" s="871"/>
      <c r="N56" s="871"/>
      <c r="O56" s="871"/>
      <c r="P56" s="872"/>
      <c r="Q56" s="874"/>
      <c r="R56" s="874"/>
      <c r="S56" s="875" t="s">
        <v>180</v>
      </c>
      <c r="T56" s="875"/>
      <c r="U56" s="875"/>
      <c r="V56" s="875"/>
      <c r="W56" s="875"/>
      <c r="X56" s="875"/>
      <c r="Y56" s="875"/>
      <c r="Z56" s="875"/>
      <c r="AA56" s="875"/>
      <c r="AB56" s="876"/>
      <c r="AC56" s="878"/>
      <c r="AD56" s="878"/>
      <c r="AE56" s="875" t="s">
        <v>181</v>
      </c>
      <c r="AF56" s="875"/>
      <c r="AG56" s="875"/>
      <c r="AH56" s="875"/>
      <c r="AI56" s="875"/>
      <c r="AJ56" s="875"/>
      <c r="AK56" s="875"/>
      <c r="AL56" s="875"/>
      <c r="AM56" s="875"/>
      <c r="AN56" s="875"/>
      <c r="AO56" s="879"/>
    </row>
    <row r="57" spans="2:41" ht="3.6" customHeight="1" thickBot="1" x14ac:dyDescent="0.3">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row>
    <row r="58" spans="2:41" ht="21.6" customHeight="1" x14ac:dyDescent="0.25">
      <c r="B58" s="891" t="s">
        <v>509</v>
      </c>
      <c r="C58" s="892"/>
      <c r="D58" s="892"/>
      <c r="E58" s="892"/>
      <c r="F58" s="892"/>
      <c r="G58" s="892"/>
      <c r="H58" s="892"/>
      <c r="I58" s="892"/>
      <c r="J58" s="892"/>
      <c r="K58" s="892"/>
      <c r="L58" s="892"/>
      <c r="M58" s="892"/>
      <c r="N58" s="892"/>
      <c r="O58" s="892"/>
      <c r="P58" s="892"/>
      <c r="Q58" s="892"/>
      <c r="R58" s="892"/>
      <c r="S58" s="892"/>
      <c r="T58" s="892"/>
      <c r="U58" s="892"/>
      <c r="V58" s="892"/>
      <c r="W58" s="892"/>
      <c r="X58" s="892"/>
      <c r="Y58" s="892"/>
      <c r="Z58" s="892"/>
      <c r="AA58" s="892"/>
      <c r="AB58" s="892"/>
      <c r="AC58" s="892"/>
      <c r="AD58" s="892"/>
      <c r="AE58" s="892"/>
      <c r="AF58" s="892"/>
      <c r="AG58" s="892"/>
      <c r="AH58" s="892"/>
      <c r="AI58" s="892"/>
      <c r="AJ58" s="892"/>
      <c r="AK58" s="892"/>
      <c r="AL58" s="892"/>
      <c r="AM58" s="892"/>
      <c r="AN58" s="892"/>
      <c r="AO58" s="893"/>
    </row>
    <row r="59" spans="2:41" s="20" customFormat="1" ht="100.9" customHeight="1" x14ac:dyDescent="0.2">
      <c r="B59" s="894" t="s">
        <v>182</v>
      </c>
      <c r="C59" s="895"/>
      <c r="D59" s="895"/>
      <c r="E59" s="895"/>
      <c r="F59" s="895"/>
      <c r="G59" s="895"/>
      <c r="H59" s="895"/>
      <c r="I59" s="895"/>
      <c r="J59" s="895"/>
      <c r="K59" s="895"/>
      <c r="L59" s="895"/>
      <c r="M59" s="895"/>
      <c r="N59" s="895"/>
      <c r="O59" s="895"/>
      <c r="P59" s="895"/>
      <c r="Q59" s="895"/>
      <c r="R59" s="895"/>
      <c r="S59" s="895"/>
      <c r="T59" s="895"/>
      <c r="U59" s="895"/>
      <c r="V59" s="895"/>
      <c r="W59" s="895"/>
      <c r="X59" s="895"/>
      <c r="Y59" s="895"/>
      <c r="Z59" s="895"/>
      <c r="AA59" s="895"/>
      <c r="AB59" s="895"/>
      <c r="AC59" s="895"/>
      <c r="AD59" s="895"/>
      <c r="AE59" s="895"/>
      <c r="AF59" s="895"/>
      <c r="AG59" s="895"/>
      <c r="AH59" s="895"/>
      <c r="AI59" s="895"/>
      <c r="AJ59" s="895"/>
      <c r="AK59" s="895"/>
      <c r="AL59" s="895"/>
      <c r="AM59" s="895"/>
      <c r="AN59" s="895"/>
      <c r="AO59" s="896"/>
    </row>
    <row r="60" spans="2:41" s="20" customFormat="1" ht="29.45" customHeight="1" x14ac:dyDescent="0.2">
      <c r="B60" s="894" t="s">
        <v>174</v>
      </c>
      <c r="C60" s="895"/>
      <c r="D60" s="895"/>
      <c r="E60" s="895"/>
      <c r="F60" s="895"/>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895"/>
      <c r="AM60" s="895"/>
      <c r="AN60" s="895"/>
      <c r="AO60" s="896"/>
    </row>
    <row r="61" spans="2:41" ht="34.9" customHeight="1" x14ac:dyDescent="0.25">
      <c r="B61" s="733" t="s">
        <v>399</v>
      </c>
      <c r="C61" s="734"/>
      <c r="D61" s="734"/>
      <c r="E61" s="734"/>
      <c r="F61" s="734"/>
      <c r="G61" s="735"/>
      <c r="H61" s="735"/>
      <c r="I61" s="735"/>
      <c r="J61" s="735"/>
      <c r="K61" s="735"/>
      <c r="L61" s="735"/>
      <c r="M61" s="735"/>
      <c r="N61" s="735"/>
      <c r="O61" s="735"/>
      <c r="P61" s="735"/>
      <c r="Q61" s="735"/>
      <c r="R61" s="736"/>
      <c r="S61" s="738" t="s">
        <v>175</v>
      </c>
      <c r="T61" s="738"/>
      <c r="U61" s="738"/>
      <c r="V61" s="738"/>
      <c r="W61" s="739"/>
      <c r="X61" s="739"/>
      <c r="Y61" s="739"/>
      <c r="Z61" s="739"/>
      <c r="AA61" s="739"/>
      <c r="AB61" s="739"/>
      <c r="AC61" s="739"/>
      <c r="AD61" s="739"/>
      <c r="AE61" s="739"/>
      <c r="AF61" s="739"/>
      <c r="AG61" s="739"/>
      <c r="AH61" s="739"/>
      <c r="AI61" s="740"/>
      <c r="AJ61" s="732" t="s">
        <v>176</v>
      </c>
      <c r="AK61" s="732"/>
      <c r="AL61" s="729"/>
      <c r="AM61" s="729"/>
      <c r="AN61" s="729"/>
      <c r="AO61" s="730"/>
    </row>
    <row r="62" spans="2:41" ht="34.9" customHeight="1" thickBot="1" x14ac:dyDescent="0.3">
      <c r="B62" s="883" t="s">
        <v>177</v>
      </c>
      <c r="C62" s="884"/>
      <c r="D62" s="884"/>
      <c r="E62" s="884"/>
      <c r="F62" s="884"/>
      <c r="G62" s="884"/>
      <c r="H62" s="884"/>
      <c r="I62" s="884"/>
      <c r="J62" s="1077"/>
      <c r="K62" s="1077"/>
      <c r="L62" s="1077"/>
      <c r="M62" s="1077"/>
      <c r="N62" s="1077"/>
      <c r="O62" s="1077"/>
      <c r="P62" s="1077"/>
      <c r="Q62" s="1077"/>
      <c r="R62" s="1077"/>
      <c r="S62" s="1077"/>
      <c r="T62" s="1077"/>
      <c r="U62" s="1077"/>
      <c r="V62" s="1077"/>
      <c r="W62" s="1077"/>
      <c r="X62" s="1077"/>
      <c r="Y62" s="1077"/>
      <c r="Z62" s="1077"/>
      <c r="AA62" s="1077"/>
      <c r="AB62" s="1077"/>
      <c r="AC62" s="1077"/>
      <c r="AD62" s="1077"/>
      <c r="AE62" s="1077"/>
      <c r="AF62" s="1077"/>
      <c r="AG62" s="1077"/>
      <c r="AH62" s="1077"/>
      <c r="AI62" s="1078"/>
      <c r="AJ62" s="732" t="s">
        <v>176</v>
      </c>
      <c r="AK62" s="732"/>
      <c r="AL62" s="729"/>
      <c r="AM62" s="729"/>
      <c r="AN62" s="729"/>
      <c r="AO62" s="730"/>
    </row>
    <row r="63" spans="2:41" ht="3.6" customHeight="1" thickBot="1" x14ac:dyDescent="0.3">
      <c r="B63" s="903"/>
      <c r="C63" s="903"/>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3"/>
      <c r="AC63" s="903"/>
      <c r="AD63" s="903"/>
      <c r="AE63" s="903"/>
      <c r="AF63" s="903"/>
      <c r="AG63" s="903"/>
      <c r="AH63" s="903"/>
      <c r="AI63" s="903"/>
      <c r="AJ63" s="903"/>
      <c r="AK63" s="903"/>
      <c r="AL63" s="903"/>
      <c r="AM63" s="903"/>
      <c r="AN63" s="903"/>
      <c r="AO63" s="903"/>
    </row>
    <row r="64" spans="2:41" ht="21.6" customHeight="1" x14ac:dyDescent="0.25">
      <c r="B64" s="885" t="s">
        <v>510</v>
      </c>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886"/>
      <c r="AL64" s="886"/>
      <c r="AM64" s="886"/>
      <c r="AN64" s="886"/>
      <c r="AO64" s="887"/>
    </row>
    <row r="65" spans="2:41" ht="47.45" customHeight="1" x14ac:dyDescent="0.25">
      <c r="B65" s="894" t="s">
        <v>178</v>
      </c>
      <c r="C65" s="895"/>
      <c r="D65" s="895"/>
      <c r="E65" s="895"/>
      <c r="F65" s="895"/>
      <c r="G65" s="895"/>
      <c r="H65" s="895"/>
      <c r="I65" s="895"/>
      <c r="J65" s="895"/>
      <c r="K65" s="895"/>
      <c r="L65" s="895"/>
      <c r="M65" s="895"/>
      <c r="N65" s="895"/>
      <c r="O65" s="895"/>
      <c r="P65" s="895"/>
      <c r="Q65" s="895"/>
      <c r="R65" s="895"/>
      <c r="S65" s="895"/>
      <c r="T65" s="895"/>
      <c r="U65" s="895"/>
      <c r="V65" s="895"/>
      <c r="W65" s="895"/>
      <c r="X65" s="895"/>
      <c r="Y65" s="895"/>
      <c r="Z65" s="895"/>
      <c r="AA65" s="895"/>
      <c r="AB65" s="895"/>
      <c r="AC65" s="895"/>
      <c r="AD65" s="895"/>
      <c r="AE65" s="895"/>
      <c r="AF65" s="895"/>
      <c r="AG65" s="895"/>
      <c r="AH65" s="895"/>
      <c r="AI65" s="895"/>
      <c r="AJ65" s="895"/>
      <c r="AK65" s="895"/>
      <c r="AL65" s="895"/>
      <c r="AM65" s="895"/>
      <c r="AN65" s="895"/>
      <c r="AO65" s="896"/>
    </row>
    <row r="66" spans="2:41" ht="34.9" customHeight="1" x14ac:dyDescent="0.25">
      <c r="B66" s="733" t="s">
        <v>399</v>
      </c>
      <c r="C66" s="734"/>
      <c r="D66" s="734"/>
      <c r="E66" s="734"/>
      <c r="F66" s="734"/>
      <c r="G66" s="735"/>
      <c r="H66" s="735"/>
      <c r="I66" s="735"/>
      <c r="J66" s="735"/>
      <c r="K66" s="735"/>
      <c r="L66" s="735"/>
      <c r="M66" s="735"/>
      <c r="N66" s="735"/>
      <c r="O66" s="735"/>
      <c r="P66" s="735"/>
      <c r="Q66" s="735"/>
      <c r="R66" s="736"/>
      <c r="S66" s="738" t="s">
        <v>175</v>
      </c>
      <c r="T66" s="738"/>
      <c r="U66" s="738"/>
      <c r="V66" s="738"/>
      <c r="W66" s="739"/>
      <c r="X66" s="739"/>
      <c r="Y66" s="739"/>
      <c r="Z66" s="739"/>
      <c r="AA66" s="739"/>
      <c r="AB66" s="739"/>
      <c r="AC66" s="739"/>
      <c r="AD66" s="739"/>
      <c r="AE66" s="739"/>
      <c r="AF66" s="739"/>
      <c r="AG66" s="739"/>
      <c r="AH66" s="739"/>
      <c r="AI66" s="740"/>
      <c r="AJ66" s="732" t="s">
        <v>176</v>
      </c>
      <c r="AK66" s="732"/>
      <c r="AL66" s="729"/>
      <c r="AM66" s="729"/>
      <c r="AN66" s="729"/>
      <c r="AO66" s="730"/>
    </row>
    <row r="67" spans="2:41" ht="34.9" customHeight="1" thickBot="1" x14ac:dyDescent="0.3">
      <c r="B67" s="883" t="s">
        <v>177</v>
      </c>
      <c r="C67" s="884"/>
      <c r="D67" s="884"/>
      <c r="E67" s="884"/>
      <c r="F67" s="884"/>
      <c r="G67" s="884"/>
      <c r="H67" s="884"/>
      <c r="I67" s="884"/>
      <c r="J67" s="901"/>
      <c r="K67" s="901"/>
      <c r="L67" s="901"/>
      <c r="M67" s="901"/>
      <c r="N67" s="901"/>
      <c r="O67" s="901"/>
      <c r="P67" s="901"/>
      <c r="Q67" s="901"/>
      <c r="R67" s="901"/>
      <c r="S67" s="901"/>
      <c r="T67" s="901"/>
      <c r="U67" s="901"/>
      <c r="V67" s="901"/>
      <c r="W67" s="901"/>
      <c r="X67" s="901"/>
      <c r="Y67" s="901"/>
      <c r="Z67" s="901"/>
      <c r="AA67" s="901"/>
      <c r="AB67" s="901"/>
      <c r="AC67" s="901"/>
      <c r="AD67" s="901"/>
      <c r="AE67" s="901"/>
      <c r="AF67" s="901"/>
      <c r="AG67" s="901"/>
      <c r="AH67" s="901"/>
      <c r="AI67" s="902"/>
      <c r="AJ67" s="732" t="s">
        <v>176</v>
      </c>
      <c r="AK67" s="732"/>
      <c r="AL67" s="729"/>
      <c r="AM67" s="729"/>
      <c r="AN67" s="729"/>
      <c r="AO67" s="730"/>
    </row>
    <row r="68" spans="2:41" ht="21.6" customHeight="1" thickBot="1" x14ac:dyDescent="0.3">
      <c r="B68" s="880" t="s">
        <v>1768</v>
      </c>
      <c r="C68" s="881"/>
      <c r="D68" s="881"/>
      <c r="E68" s="881"/>
      <c r="F68" s="881"/>
      <c r="G68" s="881"/>
      <c r="H68" s="881"/>
      <c r="I68" s="881"/>
      <c r="J68" s="881"/>
      <c r="K68" s="881"/>
      <c r="L68" s="881"/>
      <c r="M68" s="881"/>
      <c r="N68" s="881"/>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2"/>
    </row>
    <row r="69" spans="2:41" ht="21.6" customHeight="1" x14ac:dyDescent="0.25"/>
    <row r="70" spans="2:41" x14ac:dyDescent="0.25">
      <c r="M70" s="20"/>
    </row>
  </sheetData>
  <sheetProtection algorithmName="SHA-512" hashValue="Y4OMh+KVDxoBRfWJUYwB47E8qxkREnC0QBMPqUqclxSwdQEewRMRckgpcFLhEvwnfjIydoP6/c/tAKtnnNM4qQ==" saltValue="Y7izt9VwynFClOOwj3f0hw==" spinCount="100000" sheet="1" selectLockedCells="1"/>
  <mergeCells count="297">
    <mergeCell ref="AK25:AN25"/>
    <mergeCell ref="J25:M25"/>
    <mergeCell ref="N25:U25"/>
    <mergeCell ref="AD23:AI23"/>
    <mergeCell ref="AJ23:AO23"/>
    <mergeCell ref="D24:G24"/>
    <mergeCell ref="H24:M24"/>
    <mergeCell ref="N24:O24"/>
    <mergeCell ref="P24:U24"/>
    <mergeCell ref="V24:W24"/>
    <mergeCell ref="X24:AA24"/>
    <mergeCell ref="AB24:AC24"/>
    <mergeCell ref="AD24:AF24"/>
    <mergeCell ref="AG24:AH24"/>
    <mergeCell ref="AI24:AK24"/>
    <mergeCell ref="AL24:AM24"/>
    <mergeCell ref="AN24:AO24"/>
    <mergeCell ref="C9:Z9"/>
    <mergeCell ref="C8:AO8"/>
    <mergeCell ref="B6:L6"/>
    <mergeCell ref="M6:Y6"/>
    <mergeCell ref="Z6:AA6"/>
    <mergeCell ref="AB6:AN6"/>
    <mergeCell ref="B1:AO1"/>
    <mergeCell ref="B2:AO2"/>
    <mergeCell ref="B3:AO3"/>
    <mergeCell ref="B4:AD4"/>
    <mergeCell ref="AE4:AO4"/>
    <mergeCell ref="B5:O5"/>
    <mergeCell ref="P5:X5"/>
    <mergeCell ref="Y5:AD5"/>
    <mergeCell ref="AF5:AH5"/>
    <mergeCell ref="AI5:AO5"/>
    <mergeCell ref="AA9:AE9"/>
    <mergeCell ref="AF9:AO9"/>
    <mergeCell ref="D16:G16"/>
    <mergeCell ref="B15:C16"/>
    <mergeCell ref="B10:AO10"/>
    <mergeCell ref="B11:AO11"/>
    <mergeCell ref="B12:C12"/>
    <mergeCell ref="D12:M12"/>
    <mergeCell ref="N12:S12"/>
    <mergeCell ref="T12:W12"/>
    <mergeCell ref="X12:AC12"/>
    <mergeCell ref="AD12:AI12"/>
    <mergeCell ref="AJ12:AO12"/>
    <mergeCell ref="R18:T18"/>
    <mergeCell ref="Y18:AE18"/>
    <mergeCell ref="AF18:AH18"/>
    <mergeCell ref="AJ17:AO17"/>
    <mergeCell ref="B17:C18"/>
    <mergeCell ref="D17:M17"/>
    <mergeCell ref="N17:P17"/>
    <mergeCell ref="AD13:AI13"/>
    <mergeCell ref="AJ13:AO13"/>
    <mergeCell ref="B13:C14"/>
    <mergeCell ref="D13:M13"/>
    <mergeCell ref="N13:P13"/>
    <mergeCell ref="Q13:S13"/>
    <mergeCell ref="T13:W13"/>
    <mergeCell ref="X13:AC13"/>
    <mergeCell ref="D14:G14"/>
    <mergeCell ref="H14:M14"/>
    <mergeCell ref="U14:AC14"/>
    <mergeCell ref="AI14:AO14"/>
    <mergeCell ref="N14:T14"/>
    <mergeCell ref="AD14:AH14"/>
    <mergeCell ref="AD15:AI15"/>
    <mergeCell ref="AJ15:AO15"/>
    <mergeCell ref="N16:Q16"/>
    <mergeCell ref="AD17:AI17"/>
    <mergeCell ref="AI27:AK27"/>
    <mergeCell ref="AL27:AM27"/>
    <mergeCell ref="AD26:AI26"/>
    <mergeCell ref="AJ26:AO26"/>
    <mergeCell ref="V25:Y25"/>
    <mergeCell ref="Z25:AC25"/>
    <mergeCell ref="AE25:AJ25"/>
    <mergeCell ref="D15:M15"/>
    <mergeCell ref="N15:P15"/>
    <mergeCell ref="Q15:S15"/>
    <mergeCell ref="T15:W15"/>
    <mergeCell ref="X15:AC15"/>
    <mergeCell ref="H16:M16"/>
    <mergeCell ref="Y16:AE16"/>
    <mergeCell ref="AF16:AH16"/>
    <mergeCell ref="AI16:AO16"/>
    <mergeCell ref="R16:T16"/>
    <mergeCell ref="D18:G18"/>
    <mergeCell ref="H18:M18"/>
    <mergeCell ref="Q17:S17"/>
    <mergeCell ref="T17:W17"/>
    <mergeCell ref="X17:AC17"/>
    <mergeCell ref="N18:Q18"/>
    <mergeCell ref="AN27:AO27"/>
    <mergeCell ref="N27:O27"/>
    <mergeCell ref="P27:U27"/>
    <mergeCell ref="V27:W27"/>
    <mergeCell ref="D28:I28"/>
    <mergeCell ref="J28:M28"/>
    <mergeCell ref="N28:U28"/>
    <mergeCell ref="V28:Y28"/>
    <mergeCell ref="Z28:AC28"/>
    <mergeCell ref="AE28:AJ28"/>
    <mergeCell ref="AK28:AN28"/>
    <mergeCell ref="AD27:AF27"/>
    <mergeCell ref="AG27:AH27"/>
    <mergeCell ref="X27:AA27"/>
    <mergeCell ref="AB27:AC27"/>
    <mergeCell ref="B35:C35"/>
    <mergeCell ref="D35:AA35"/>
    <mergeCell ref="AB35:AC35"/>
    <mergeCell ref="AD35:AG35"/>
    <mergeCell ref="AH35:AK35"/>
    <mergeCell ref="AL35:AO35"/>
    <mergeCell ref="B33:C33"/>
    <mergeCell ref="D33:AA33"/>
    <mergeCell ref="AB33:AC33"/>
    <mergeCell ref="AD33:AG33"/>
    <mergeCell ref="AH33:AK33"/>
    <mergeCell ref="AL33:AO33"/>
    <mergeCell ref="B34:C34"/>
    <mergeCell ref="D34:AA34"/>
    <mergeCell ref="AB34:AC34"/>
    <mergeCell ref="AD34:AG34"/>
    <mergeCell ref="AH34:AK34"/>
    <mergeCell ref="AL34:AO34"/>
    <mergeCell ref="B32:C32"/>
    <mergeCell ref="D32:AA32"/>
    <mergeCell ref="AB32:AC32"/>
    <mergeCell ref="AD32:AG32"/>
    <mergeCell ref="AH32:AK32"/>
    <mergeCell ref="AL32:AO32"/>
    <mergeCell ref="B29:W29"/>
    <mergeCell ref="X29:AC29"/>
    <mergeCell ref="AD29:AI29"/>
    <mergeCell ref="AJ29:AO29"/>
    <mergeCell ref="B30:AO30"/>
    <mergeCell ref="B31:AO31"/>
    <mergeCell ref="B37:C37"/>
    <mergeCell ref="D37:AA37"/>
    <mergeCell ref="AB37:AC37"/>
    <mergeCell ref="AD37:AG37"/>
    <mergeCell ref="AH37:AK37"/>
    <mergeCell ref="AL37:AO37"/>
    <mergeCell ref="B36:C36"/>
    <mergeCell ref="D36:AA36"/>
    <mergeCell ref="AB36:AC36"/>
    <mergeCell ref="AD36:AG36"/>
    <mergeCell ref="AH36:AK36"/>
    <mergeCell ref="AL36:AO36"/>
    <mergeCell ref="B39:AC39"/>
    <mergeCell ref="AD39:AG39"/>
    <mergeCell ref="AH39:AK39"/>
    <mergeCell ref="AL39:AO39"/>
    <mergeCell ref="B40:AO40"/>
    <mergeCell ref="B41:AO41"/>
    <mergeCell ref="B38:C38"/>
    <mergeCell ref="D38:AA38"/>
    <mergeCell ref="AB38:AC38"/>
    <mergeCell ref="AD38:AG38"/>
    <mergeCell ref="AH38:AK38"/>
    <mergeCell ref="AL38:AO38"/>
    <mergeCell ref="B43:C43"/>
    <mergeCell ref="D43:AA43"/>
    <mergeCell ref="AB43:AC43"/>
    <mergeCell ref="AD43:AG43"/>
    <mergeCell ref="AH43:AK43"/>
    <mergeCell ref="AL43:AO43"/>
    <mergeCell ref="B42:C42"/>
    <mergeCell ref="D42:AA42"/>
    <mergeCell ref="AB42:AC42"/>
    <mergeCell ref="AD42:AG42"/>
    <mergeCell ref="AH42:AK42"/>
    <mergeCell ref="AL42:AO42"/>
    <mergeCell ref="AD45:AG45"/>
    <mergeCell ref="AH45:AK45"/>
    <mergeCell ref="AL45:AO45"/>
    <mergeCell ref="B44:C44"/>
    <mergeCell ref="D44:AA44"/>
    <mergeCell ref="AB44:AC44"/>
    <mergeCell ref="AD44:AG44"/>
    <mergeCell ref="AH44:AK44"/>
    <mergeCell ref="AL44:AO44"/>
    <mergeCell ref="D56:P56"/>
    <mergeCell ref="Q56:R56"/>
    <mergeCell ref="S56:AB56"/>
    <mergeCell ref="AC56:AD56"/>
    <mergeCell ref="AE56:AO56"/>
    <mergeCell ref="B53:AJ53"/>
    <mergeCell ref="AK53:AO53"/>
    <mergeCell ref="B51:AJ51"/>
    <mergeCell ref="AK51:AO51"/>
    <mergeCell ref="B52:AJ52"/>
    <mergeCell ref="AK52:AO52"/>
    <mergeCell ref="B54:AJ54"/>
    <mergeCell ref="AK54:AO54"/>
    <mergeCell ref="B55:AO55"/>
    <mergeCell ref="B56:C56"/>
    <mergeCell ref="B68:AO68"/>
    <mergeCell ref="B65:AO65"/>
    <mergeCell ref="B66:F66"/>
    <mergeCell ref="G66:R66"/>
    <mergeCell ref="S66:V66"/>
    <mergeCell ref="W66:AI66"/>
    <mergeCell ref="AJ66:AK66"/>
    <mergeCell ref="AL66:AO66"/>
    <mergeCell ref="B62:I62"/>
    <mergeCell ref="J62:AI62"/>
    <mergeCell ref="AJ62:AK62"/>
    <mergeCell ref="AL62:AO62"/>
    <mergeCell ref="B63:AO63"/>
    <mergeCell ref="B64:AO64"/>
    <mergeCell ref="B67:I67"/>
    <mergeCell ref="J67:AI67"/>
    <mergeCell ref="AJ67:AK67"/>
    <mergeCell ref="AL67:AO67"/>
    <mergeCell ref="B57:AO57"/>
    <mergeCell ref="B58:AO58"/>
    <mergeCell ref="B59:AO59"/>
    <mergeCell ref="B60:AO60"/>
    <mergeCell ref="B61:F61"/>
    <mergeCell ref="G61:R61"/>
    <mergeCell ref="S61:V61"/>
    <mergeCell ref="W61:AI61"/>
    <mergeCell ref="AJ61:AK61"/>
    <mergeCell ref="AL61:AO61"/>
    <mergeCell ref="J50:N50"/>
    <mergeCell ref="J49:N49"/>
    <mergeCell ref="B49:I49"/>
    <mergeCell ref="B50:I50"/>
    <mergeCell ref="AI18:AO18"/>
    <mergeCell ref="U18:X18"/>
    <mergeCell ref="U16:X16"/>
    <mergeCell ref="AC49:AJ49"/>
    <mergeCell ref="AC50:AJ50"/>
    <mergeCell ref="X50:AB50"/>
    <mergeCell ref="X49:AB49"/>
    <mergeCell ref="O50:W50"/>
    <mergeCell ref="O49:W49"/>
    <mergeCell ref="AK49:AO49"/>
    <mergeCell ref="AK50:AO50"/>
    <mergeCell ref="B46:AC46"/>
    <mergeCell ref="AD46:AG46"/>
    <mergeCell ref="AH46:AK46"/>
    <mergeCell ref="AL46:AO46"/>
    <mergeCell ref="B47:AO47"/>
    <mergeCell ref="B48:AO48"/>
    <mergeCell ref="B45:C45"/>
    <mergeCell ref="D45:AA45"/>
    <mergeCell ref="AB45:AC45"/>
    <mergeCell ref="B19:C20"/>
    <mergeCell ref="D19:M19"/>
    <mergeCell ref="N19:P19"/>
    <mergeCell ref="Q19:S19"/>
    <mergeCell ref="T19:W19"/>
    <mergeCell ref="X19:AC19"/>
    <mergeCell ref="AD19:AI19"/>
    <mergeCell ref="AJ19:AO19"/>
    <mergeCell ref="D20:M20"/>
    <mergeCell ref="N20:Q20"/>
    <mergeCell ref="R20:T20"/>
    <mergeCell ref="U20:X20"/>
    <mergeCell ref="Y20:AE20"/>
    <mergeCell ref="AF20:AH20"/>
    <mergeCell ref="AI20:AO20"/>
    <mergeCell ref="AD21:AI21"/>
    <mergeCell ref="AJ21:AO21"/>
    <mergeCell ref="D22:M22"/>
    <mergeCell ref="N22:O22"/>
    <mergeCell ref="P22:V22"/>
    <mergeCell ref="W22:X22"/>
    <mergeCell ref="Y22:AE22"/>
    <mergeCell ref="AF22:AG22"/>
    <mergeCell ref="AH22:AJ22"/>
    <mergeCell ref="AK22:AO22"/>
    <mergeCell ref="B26:C28"/>
    <mergeCell ref="D26:M26"/>
    <mergeCell ref="N26:P26"/>
    <mergeCell ref="Q26:S26"/>
    <mergeCell ref="T26:W26"/>
    <mergeCell ref="X26:AC26"/>
    <mergeCell ref="B21:C22"/>
    <mergeCell ref="D21:M21"/>
    <mergeCell ref="N21:P21"/>
    <mergeCell ref="Q21:S21"/>
    <mergeCell ref="T21:W21"/>
    <mergeCell ref="X21:AC21"/>
    <mergeCell ref="D27:G27"/>
    <mergeCell ref="H27:M27"/>
    <mergeCell ref="B23:C25"/>
    <mergeCell ref="D23:M23"/>
    <mergeCell ref="N23:P23"/>
    <mergeCell ref="Q23:S23"/>
    <mergeCell ref="T23:W23"/>
    <mergeCell ref="X23:AC23"/>
    <mergeCell ref="D25:I25"/>
  </mergeCells>
  <conditionalFormatting sqref="B8">
    <cfRule type="containsBlanks" dxfId="41" priority="58">
      <formula>LEN(TRIM(B8))=0</formula>
    </cfRule>
  </conditionalFormatting>
  <conditionalFormatting sqref="B13:C28">
    <cfRule type="expression" dxfId="40" priority="37">
      <formula>AND(NOT(ISBLANK(X13)),ISBLANK(B13))</formula>
    </cfRule>
  </conditionalFormatting>
  <conditionalFormatting sqref="B33:C38 B43:C45">
    <cfRule type="expression" dxfId="39" priority="68">
      <formula>AND(NOT(ISBLANK(AD33)),ISBLANK(B33))</formula>
    </cfRule>
  </conditionalFormatting>
  <conditionalFormatting sqref="B56:C56 Q56:R56 AC56:AD56">
    <cfRule type="containsBlanks" dxfId="38" priority="99">
      <formula>LEN(TRIM(B56))=0</formula>
    </cfRule>
  </conditionalFormatting>
  <conditionalFormatting sqref="N22:O22">
    <cfRule type="expression" dxfId="37" priority="38">
      <formula>OR($N$30="0%",$N$30="&lt; 25%",$N$30="&lt; 50%")</formula>
    </cfRule>
  </conditionalFormatting>
  <conditionalFormatting sqref="AA9">
    <cfRule type="containsBlanks" dxfId="36" priority="57">
      <formula>LEN(TRIM(AA9))=0</formula>
    </cfRule>
  </conditionalFormatting>
  <conditionalFormatting sqref="AN24:AO24">
    <cfRule type="cellIs" dxfId="26" priority="41" operator="between">
      <formula>0.01</formula>
      <formula>8.09</formula>
    </cfRule>
  </conditionalFormatting>
  <conditionalFormatting sqref="AN27:AO27">
    <cfRule type="cellIs" dxfId="23" priority="77" operator="between">
      <formula>0.01</formula>
      <formula>8.09</formula>
    </cfRule>
  </conditionalFormatting>
  <dataValidations count="1">
    <dataValidation type="list" allowBlank="1" showInputMessage="1" showErrorMessage="1" sqref="B56 Q56:R56 AC56:AD56" xr:uid="{59C66274-5ADB-4D91-A9C0-EFBAFE45609E}">
      <formula1>"Yes,No"</formula1>
    </dataValidation>
  </dataValidations>
  <hyperlinks>
    <hyperlink ref="AE4:AO4" r:id="rId1" display="ResidentialEEApplications@ameren.com" xr:uid="{4901079C-3932-44F9-B85C-706D8B01BD15}"/>
  </hyperlinks>
  <pageMargins left="0.7" right="0.7" top="0.75" bottom="0.75" header="0.3" footer="0.3"/>
  <pageSetup scale="84" fitToHeight="0" orientation="portrait" horizontalDpi="1200" verticalDpi="1200" r:id="rId2"/>
  <rowBreaks count="1" manualBreakCount="1">
    <brk id="39"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42" id="{114AB14C-794E-4B94-B88E-AB29776BD8E3}">
            <xm:f>AND($AD$24&lt;15.2,$D$23=Measures!$I$35)</xm:f>
            <x14:dxf>
              <fill>
                <patternFill>
                  <bgColor rgb="FFFF5050"/>
                </patternFill>
              </fill>
            </x14:dxf>
          </x14:cfRule>
          <x14:cfRule type="expression" priority="44" id="{F21B17BB-556C-4C1F-9FA8-75B7E109FA37}">
            <xm:f>AND($AD$24&lt;15.2,$D$23=Measures!$I$34)</xm:f>
            <x14:dxf>
              <fill>
                <patternFill>
                  <bgColor rgb="FFFF5050"/>
                </patternFill>
              </fill>
            </x14:dxf>
          </x14:cfRule>
          <xm:sqref>AD24:AF24</xm:sqref>
        </x14:conditionalFormatting>
        <x14:conditionalFormatting xmlns:xm="http://schemas.microsoft.com/office/excel/2006/main">
          <x14:cfRule type="expression" priority="61" id="{2D7664BB-9E54-4535-8106-75AE8CA4FE99}">
            <xm:f>AND($AD$27&lt;15.2,$D$26=Measures!$I$38)</xm:f>
            <x14:dxf>
              <fill>
                <patternFill>
                  <bgColor rgb="FFFF5050"/>
                </patternFill>
              </fill>
            </x14:dxf>
          </x14:cfRule>
          <x14:cfRule type="expression" priority="62" id="{56CCFFA4-B90F-4CA2-948D-D594E0FEE89D}">
            <xm:f>AND($AD$27&lt;15.2,$D$26=Measures!$I$39)</xm:f>
            <x14:dxf>
              <fill>
                <patternFill>
                  <bgColor rgb="FFFF5050"/>
                </patternFill>
              </fill>
            </x14:dxf>
          </x14:cfRule>
          <xm:sqref>AD27:AF27</xm:sqref>
        </x14:conditionalFormatting>
        <x14:conditionalFormatting xmlns:xm="http://schemas.microsoft.com/office/excel/2006/main">
          <x14:cfRule type="expression" priority="86" id="{3CA4059D-16F9-43A7-A139-CD5462FC81C7}">
            <xm:f>'Project Score'!$C$35&gt;2</xm:f>
            <x14:dxf>
              <fill>
                <patternFill>
                  <bgColor rgb="FFFF0000"/>
                </patternFill>
              </fill>
            </x14:dxf>
          </x14:cfRule>
          <x14:cfRule type="expression" priority="87" id="{038591F4-68AF-4479-A2F9-42F3A5E551F5}">
            <xm:f>AND('Project Score'!$C$35&gt;1,'Project Score'!$C$35&lt;=2)</xm:f>
            <x14:dxf>
              <fill>
                <patternFill>
                  <bgColor rgb="FFFFFF00"/>
                </patternFill>
              </fill>
            </x14:dxf>
          </x14:cfRule>
          <x14:cfRule type="expression" priority="88" id="{954BA216-2BE5-4ADF-BC7C-FEA3B59927A6}">
            <xm:f>AND('Project Score'!$C$35&gt;0,'Project Score'!$C$35&lt;=1)</xm:f>
            <x14:dxf>
              <fill>
                <patternFill>
                  <bgColor rgb="FF92D050"/>
                </patternFill>
              </fill>
            </x14:dxf>
          </x14:cfRule>
          <xm:sqref>AK54:AO54</xm:sqref>
        </x14:conditionalFormatting>
        <x14:conditionalFormatting xmlns:xm="http://schemas.microsoft.com/office/excel/2006/main">
          <x14:cfRule type="expression" priority="39" id="{C775CA46-6587-4B2B-9E54-80ACE258E8AD}">
            <xm:f>AND($AN$24&lt;8.1,$D$23=Measures!$I$34)</xm:f>
            <x14:dxf>
              <fill>
                <patternFill>
                  <bgColor rgb="FFFF5050"/>
                </patternFill>
              </fill>
            </x14:dxf>
          </x14:cfRule>
          <x14:cfRule type="expression" priority="40" id="{FB87D7F1-D056-46C8-9671-15AAA0FDB8ED}">
            <xm:f>AND($AN$24&lt;8.55,$D$23=Measures!$I$35)</xm:f>
            <x14:dxf>
              <fill>
                <patternFill>
                  <bgColor rgb="FFFF5050"/>
                </patternFill>
              </fill>
            </x14:dxf>
          </x14:cfRule>
          <xm:sqref>AN24:AO24</xm:sqref>
        </x14:conditionalFormatting>
        <x14:conditionalFormatting xmlns:xm="http://schemas.microsoft.com/office/excel/2006/main">
          <x14:cfRule type="expression" priority="59" id="{AB2A04CF-3084-4212-B2B6-6122C25BBE39}">
            <xm:f>AND($AN$27&lt;8.1,$D$26=Measures!$I$38)</xm:f>
            <x14:dxf>
              <fill>
                <patternFill>
                  <bgColor rgb="FFFF5050"/>
                </patternFill>
              </fill>
            </x14:dxf>
          </x14:cfRule>
          <x14:cfRule type="expression" priority="60" id="{FBE0BCE4-216F-4063-A9B8-C1A265D2064E}">
            <xm:f>AND($AN$27&lt;8.55,$D$26=Measures!$I$39)</xm:f>
            <x14:dxf>
              <fill>
                <patternFill>
                  <bgColor rgb="FFFF5050"/>
                </patternFill>
              </fill>
            </x14:dxf>
          </x14:cfRule>
          <xm:sqref>AN27:AO27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2AC5BCA-48DB-4B6D-81A8-ED5C1553664F}">
          <x14:formula1>
            <xm:f>Lists!$J$6:$J$8</xm:f>
          </x14:formula1>
          <xm:sqref>B43:C45 B33:C38 B13:C28</xm:sqref>
        </x14:dataValidation>
        <x14:dataValidation type="list" allowBlank="1" showInputMessage="1" showErrorMessage="1" xr:uid="{B854867A-BBC7-4891-BDB2-52CC567BA88F}">
          <x14:formula1>
            <xm:f>Measures!$I$33:$I$35</xm:f>
          </x14:formula1>
          <xm:sqref>D23:M23</xm:sqref>
        </x14:dataValidation>
        <x14:dataValidation type="list" errorStyle="warning" allowBlank="1" showInputMessage="1" showErrorMessage="1" error="Any entry that is not on the list MUST HAVE supporting photographs, notes, and detailed quote to support eligibility" xr:uid="{3F3A3CBB-0A50-459E-B8D6-71ECFBB495E2}">
          <x14:formula1>
            <xm:f>Lists!$G$24:$G$55</xm:f>
          </x14:formula1>
          <xm:sqref>D43:AA45</xm:sqref>
        </x14:dataValidation>
        <x14:dataValidation type="list" allowBlank="1" showInputMessage="1" showErrorMessage="1" xr:uid="{7E98B683-22A1-489B-A5F2-1741BCCE4A07}">
          <x14:formula1>
            <xm:f>Lists!$N$1:$N$3</xm:f>
          </x14:formula1>
          <xm:sqref>H14:M14 H16:M16 H18:M20</xm:sqref>
        </x14:dataValidation>
        <x14:dataValidation type="list" allowBlank="1" showInputMessage="1" showErrorMessage="1" xr:uid="{8240C802-B5D3-4628-A85D-77E088A240CC}">
          <x14:formula1>
            <xm:f>Lists!$J$10:$J$12</xm:f>
          </x14:formula1>
          <xm:sqref>T13:W13 T15:W15 T17:W17 T26:W26 T23:W23</xm:sqref>
        </x14:dataValidation>
        <x14:dataValidation type="list" allowBlank="1" showInputMessage="1" showErrorMessage="1" xr:uid="{7E0A5442-CC64-414B-BAF8-CA3BCACC7D58}">
          <x14:formula1>
            <xm:f>Lists!$L$1:$L$2</xm:f>
          </x14:formula1>
          <xm:sqref>B8 AD25 AD28</xm:sqref>
        </x14:dataValidation>
        <x14:dataValidation type="list" allowBlank="1" showInputMessage="1" showErrorMessage="1" xr:uid="{9B520955-6DE2-458E-892A-95869564ABEA}">
          <x14:formula1>
            <xm:f>Lists!$J$11:$J$12</xm:f>
          </x14:formula1>
          <xm:sqref>T19:W19 T21:W21</xm:sqref>
        </x14:dataValidation>
        <x14:dataValidation type="list" allowBlank="1" showInputMessage="1" showErrorMessage="1" xr:uid="{A1D1D318-D922-4CF2-BF04-D460178288DE}">
          <x14:formula1>
            <xm:f>Measures!$I$37:$I$39</xm:f>
          </x14:formula1>
          <xm:sqref>D26:M26</xm:sqref>
        </x14:dataValidation>
        <x14:dataValidation type="list" errorStyle="warning" allowBlank="1" showInputMessage="1" showErrorMessage="1" error="Any entry that is not on the list MUST HAVE supporting photographs, notes, and detailed quote to support eligibility" xr:uid="{611EFFE1-F6FF-4E10-AE73-EC95E365DF34}">
          <x14:formula1>
            <xm:f>Lists!$N$6:$N$16</xm:f>
          </x14:formula1>
          <xm:sqref>D33:AA38</xm:sqref>
        </x14:dataValidation>
        <x14:dataValidation type="list" allowBlank="1" showInputMessage="1" showErrorMessage="1" xr:uid="{C3C62E3B-2E5C-4B35-8EF1-7B4F001B8D16}">
          <x14:formula1>
            <xm:f>Lists!$A$35:$A$40</xm:f>
          </x14:formula1>
          <xm:sqref>N22:O22</xm:sqref>
        </x14:dataValidation>
        <x14:dataValidation type="list" allowBlank="1" showInputMessage="1" showErrorMessage="1" xr:uid="{3000D0C7-4111-4E1D-A231-678AED81371E}">
          <x14:formula1>
            <xm:f>Lists!$D$17:$D$21</xm:f>
          </x14:formula1>
          <xm:sqref>AK22:AO22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7098-79CB-4281-8B96-D5E348D8FD6C}">
  <dimension ref="A2:Q41"/>
  <sheetViews>
    <sheetView topLeftCell="A16" zoomScaleNormal="100" workbookViewId="0">
      <selection activeCell="B31" sqref="B31"/>
    </sheetView>
  </sheetViews>
  <sheetFormatPr defaultRowHeight="15" x14ac:dyDescent="0.25"/>
  <cols>
    <col min="2" max="2" width="39.28515625" bestFit="1" customWidth="1"/>
    <col min="3" max="3" width="10.28515625" bestFit="1" customWidth="1"/>
    <col min="9" max="9" width="23.7109375" bestFit="1" customWidth="1"/>
  </cols>
  <sheetData>
    <row r="2" spans="1:17" x14ac:dyDescent="0.25">
      <c r="A2" s="1123"/>
      <c r="B2" s="1123"/>
      <c r="C2" s="162"/>
      <c r="D2" s="162"/>
      <c r="E2" s="162"/>
      <c r="F2" s="162"/>
      <c r="G2" s="162"/>
      <c r="H2" s="162"/>
    </row>
    <row r="3" spans="1:17" x14ac:dyDescent="0.25">
      <c r="A3" s="162"/>
      <c r="B3" s="163" t="s">
        <v>437</v>
      </c>
      <c r="C3" s="164" t="s">
        <v>431</v>
      </c>
      <c r="D3" s="164" t="s">
        <v>432</v>
      </c>
      <c r="E3" s="164" t="s">
        <v>433</v>
      </c>
      <c r="F3" s="164" t="s">
        <v>400</v>
      </c>
      <c r="G3" s="164" t="s">
        <v>458</v>
      </c>
      <c r="H3" s="162"/>
      <c r="I3" s="163" t="s">
        <v>436</v>
      </c>
      <c r="J3" s="164" t="s">
        <v>431</v>
      </c>
      <c r="K3" s="164" t="s">
        <v>432</v>
      </c>
      <c r="L3" s="164" t="s">
        <v>433</v>
      </c>
      <c r="M3" s="164" t="s">
        <v>400</v>
      </c>
      <c r="N3" s="164" t="s">
        <v>458</v>
      </c>
      <c r="P3" s="163"/>
    </row>
    <row r="4" spans="1:17" x14ac:dyDescent="0.25">
      <c r="A4" s="162"/>
      <c r="B4" t="s">
        <v>36</v>
      </c>
      <c r="C4" s="167">
        <f>'Work Scope'!$N$10</f>
        <v>0</v>
      </c>
      <c r="D4" s="169">
        <v>1.291780309</v>
      </c>
      <c r="E4" s="169">
        <v>0</v>
      </c>
      <c r="F4" s="168">
        <f>'Work Scope'!$T$10</f>
        <v>0</v>
      </c>
      <c r="G4" s="168">
        <f t="shared" ref="G4:G13" si="0">IF(F4=0,0,D4*F4)</f>
        <v>0</v>
      </c>
      <c r="H4" s="162"/>
      <c r="I4" t="s">
        <v>36</v>
      </c>
      <c r="J4" s="167">
        <f>'Work Scope'!$N$10</f>
        <v>0</v>
      </c>
      <c r="K4" s="169">
        <v>0.324790786</v>
      </c>
      <c r="L4" s="169">
        <v>5.6031980000000002E-2</v>
      </c>
      <c r="M4" s="168">
        <f>'Work Scope'!$T$10</f>
        <v>0</v>
      </c>
      <c r="N4" s="168">
        <f>IF(M4=0,0,IF('Project Information'!$J$9="X",((K4*M4)+(L4*M4*$J$21)),(L4*M4*$J$21)))</f>
        <v>0</v>
      </c>
      <c r="P4" t="s">
        <v>1005</v>
      </c>
    </row>
    <row r="5" spans="1:17" x14ac:dyDescent="0.25">
      <c r="A5" s="162"/>
      <c r="B5" t="s">
        <v>59</v>
      </c>
      <c r="C5" s="167">
        <f>'Work Scope'!$N$12</f>
        <v>0</v>
      </c>
      <c r="D5" s="169">
        <v>1.5094221069056399</v>
      </c>
      <c r="E5" s="169">
        <v>0</v>
      </c>
      <c r="F5" s="168">
        <f>'Work Scope'!$T$12</f>
        <v>0</v>
      </c>
      <c r="G5" s="168">
        <f t="shared" si="0"/>
        <v>0</v>
      </c>
      <c r="H5" s="162"/>
      <c r="I5" t="s">
        <v>59</v>
      </c>
      <c r="J5" s="167">
        <f>'Work Scope'!$N$12</f>
        <v>0</v>
      </c>
      <c r="K5" s="169">
        <v>0.32864428000000001</v>
      </c>
      <c r="L5" s="169">
        <v>9.9436144000000004E-2</v>
      </c>
      <c r="M5" s="168">
        <f>'Work Scope'!$T$12</f>
        <v>0</v>
      </c>
      <c r="N5" s="168">
        <f>IF(M5=0,0,IF('Project Information'!$J$9="X",((K5*M5)+(L5*M5*$J$21)),(L5*M5*$J$21)))</f>
        <v>0</v>
      </c>
      <c r="P5" t="s">
        <v>1004</v>
      </c>
      <c r="Q5">
        <f>IF(M4=0,0,IF('Project Information'!$J$9="X",((K4*M4)+(L4*M4*$J$21)),(L4*M4*$J$21)))</f>
        <v>0</v>
      </c>
    </row>
    <row r="6" spans="1:17" x14ac:dyDescent="0.25">
      <c r="A6" s="162"/>
      <c r="B6" t="s">
        <v>60</v>
      </c>
      <c r="C6" s="167">
        <f>'Work Scope'!$N$15</f>
        <v>0</v>
      </c>
      <c r="D6" s="169">
        <v>0.46514526899999997</v>
      </c>
      <c r="E6" s="169">
        <v>0</v>
      </c>
      <c r="F6" s="139">
        <f>'Work Scope'!T15</f>
        <v>0</v>
      </c>
      <c r="G6" s="168">
        <f>IF(F6=0,0,D6*F6)</f>
        <v>0</v>
      </c>
      <c r="H6" s="162"/>
      <c r="I6" t="s">
        <v>60</v>
      </c>
      <c r="J6" s="167">
        <f>'Work Scope'!$N$15</f>
        <v>0</v>
      </c>
      <c r="K6" s="169">
        <v>0.124007352</v>
      </c>
      <c r="L6" s="169">
        <v>3.6800904000000002E-2</v>
      </c>
      <c r="M6" s="168">
        <f>'Work Scope'!$T$15</f>
        <v>0</v>
      </c>
      <c r="N6" s="168">
        <f>IF(M6=0,0,IF('Project Information'!$J$9="X",((K6*M6)+(L6*M6*$J$21)),(L6*M6*$J$21)))</f>
        <v>0</v>
      </c>
    </row>
    <row r="7" spans="1:17" x14ac:dyDescent="0.25">
      <c r="A7" s="162"/>
      <c r="B7" t="s">
        <v>1412</v>
      </c>
      <c r="C7" s="167">
        <f>'Work Scope'!$N$18</f>
        <v>0</v>
      </c>
      <c r="D7" s="169">
        <v>0.235719346</v>
      </c>
      <c r="E7" s="169">
        <v>0</v>
      </c>
      <c r="F7" s="168">
        <f>'Work Scope'!$T$18</f>
        <v>0</v>
      </c>
      <c r="G7" s="168">
        <f>IF(F7=0,0,D6*F7)</f>
        <v>0</v>
      </c>
      <c r="H7" s="162"/>
      <c r="I7" t="s">
        <v>1412</v>
      </c>
      <c r="J7" s="167">
        <f>'Work Scope'!$N$18</f>
        <v>0</v>
      </c>
      <c r="K7" s="169">
        <v>4.4342560000000003E-2</v>
      </c>
      <c r="L7" s="169">
        <v>1.7567793000000002E-2</v>
      </c>
      <c r="M7" s="168">
        <f>'Work Scope'!$T$18</f>
        <v>0</v>
      </c>
      <c r="N7" s="168">
        <f>IF(M7=0,0,IF('Project Information'!$J$9="X",((K7*M7)+(L7*M7*$J$21)),(L7*M7*$J$21)))</f>
        <v>0</v>
      </c>
    </row>
    <row r="8" spans="1:17" x14ac:dyDescent="0.25">
      <c r="A8" s="162"/>
      <c r="B8" t="s">
        <v>37</v>
      </c>
      <c r="C8" s="167">
        <f>'Work Scope'!$N$21</f>
        <v>0</v>
      </c>
      <c r="D8" s="169">
        <v>1.698641751</v>
      </c>
      <c r="E8" s="169">
        <v>0</v>
      </c>
      <c r="F8" s="168">
        <f>'Work Scope'!$T$21</f>
        <v>0</v>
      </c>
      <c r="G8" s="168">
        <f t="shared" si="0"/>
        <v>0</v>
      </c>
      <c r="H8" s="162"/>
      <c r="I8" t="s">
        <v>37</v>
      </c>
      <c r="J8" s="167">
        <f>'Work Scope'!$N$21</f>
        <v>0</v>
      </c>
      <c r="K8" s="169">
        <v>0.25247539400000002</v>
      </c>
      <c r="L8" s="169">
        <v>9.8864967999999998E-2</v>
      </c>
      <c r="M8" s="168">
        <f>'Work Scope'!$T$21</f>
        <v>0</v>
      </c>
      <c r="N8" s="168">
        <f>IF(M8=0,0,IF('Project Information'!$J$9="X",((K8*M8)+(L8*M8*$J$21)),(L8*M8*$J$21)))</f>
        <v>0</v>
      </c>
    </row>
    <row r="9" spans="1:17" x14ac:dyDescent="0.25">
      <c r="A9" s="162"/>
      <c r="B9" t="s">
        <v>39</v>
      </c>
      <c r="C9" s="167">
        <f>'Work Scope'!$N$23</f>
        <v>0</v>
      </c>
      <c r="D9" s="169">
        <v>1.34101822</v>
      </c>
      <c r="E9" s="169">
        <v>0</v>
      </c>
      <c r="F9" s="168">
        <f>'Work Scope'!$T$23</f>
        <v>0</v>
      </c>
      <c r="G9" s="168">
        <f t="shared" si="0"/>
        <v>0</v>
      </c>
      <c r="H9" s="162"/>
      <c r="I9" t="s">
        <v>39</v>
      </c>
      <c r="J9" s="167">
        <f>'Work Scope'!$N$23</f>
        <v>0</v>
      </c>
      <c r="K9" s="169">
        <v>0.24234946399999999</v>
      </c>
      <c r="L9" s="169">
        <v>9.5291181000000003E-2</v>
      </c>
      <c r="M9" s="168">
        <f>'Work Scope'!$T$23</f>
        <v>0</v>
      </c>
      <c r="N9" s="168">
        <f>IF(M9=0,0,IF('Project Information'!$J$9="X",((K9*M9)+(L9*M9*$J$21)),(L9*M9*$J$21)))</f>
        <v>0</v>
      </c>
    </row>
    <row r="10" spans="1:17" x14ac:dyDescent="0.25">
      <c r="A10" s="162"/>
      <c r="B10" t="s">
        <v>38</v>
      </c>
      <c r="C10" s="167">
        <f>'Work Scope'!$N$25</f>
        <v>0</v>
      </c>
      <c r="D10" s="169">
        <v>0.91538893200000004</v>
      </c>
      <c r="E10" s="169">
        <v>0</v>
      </c>
      <c r="F10" s="168">
        <f>'Work Scope'!$T$25</f>
        <v>0</v>
      </c>
      <c r="G10" s="168">
        <f t="shared" si="0"/>
        <v>0</v>
      </c>
      <c r="H10" s="162"/>
      <c r="I10" t="s">
        <v>38</v>
      </c>
      <c r="J10" s="167">
        <f>'Work Scope'!$N$25</f>
        <v>0</v>
      </c>
      <c r="K10" s="169">
        <v>0.11943050099999999</v>
      </c>
      <c r="L10" s="169">
        <v>5.8580119E-2</v>
      </c>
      <c r="M10" s="168">
        <f>'Work Scope'!$T$25</f>
        <v>0</v>
      </c>
      <c r="N10" s="168">
        <f>IF(M10=0,0,IF('Project Information'!$J$9="X",((K10*M10)+(L10*M10*$J$21)),(L10*M10*$J$21)))</f>
        <v>0</v>
      </c>
    </row>
    <row r="11" spans="1:17" x14ac:dyDescent="0.25">
      <c r="A11" s="162"/>
      <c r="B11" t="s">
        <v>206</v>
      </c>
      <c r="C11" s="167">
        <f>'Work Scope'!$N$27</f>
        <v>0</v>
      </c>
      <c r="D11" s="169">
        <v>8.7007297640000001</v>
      </c>
      <c r="E11" s="169">
        <v>0</v>
      </c>
      <c r="F11" s="168">
        <f>'Work Scope'!$T$27</f>
        <v>0</v>
      </c>
      <c r="G11" s="168">
        <f t="shared" si="0"/>
        <v>0</v>
      </c>
      <c r="H11" s="162"/>
      <c r="I11" t="s">
        <v>206</v>
      </c>
      <c r="J11" s="167">
        <f>'Work Scope'!$N$27</f>
        <v>0</v>
      </c>
      <c r="K11" s="169">
        <v>1.0661433948150301</v>
      </c>
      <c r="L11" s="169">
        <v>0.58496504599999999</v>
      </c>
      <c r="M11" s="168">
        <f>'Work Scope'!$T$27</f>
        <v>0</v>
      </c>
      <c r="N11" s="168">
        <f>IF(M11=0,0,IF('Project Information'!$J$9="X",((K11*M11)+(L11*M11*$J$21)),(L11*M11*$J$21)))</f>
        <v>0</v>
      </c>
    </row>
    <row r="12" spans="1:17" x14ac:dyDescent="0.25">
      <c r="A12" s="162"/>
      <c r="B12" t="s">
        <v>66</v>
      </c>
      <c r="C12" s="167">
        <f>'Work Scope'!$N$29</f>
        <v>0</v>
      </c>
      <c r="D12" s="169">
        <v>1074.225899</v>
      </c>
      <c r="E12" s="169">
        <v>0</v>
      </c>
      <c r="F12" s="168">
        <f>'Work Scope'!$T$29</f>
        <v>0</v>
      </c>
      <c r="G12" s="168">
        <f t="shared" si="0"/>
        <v>0</v>
      </c>
      <c r="H12" s="162"/>
      <c r="I12" t="s">
        <v>66</v>
      </c>
      <c r="J12" s="167">
        <f>'Work Scope'!$N$29</f>
        <v>0</v>
      </c>
      <c r="K12" s="169">
        <v>642.1759753</v>
      </c>
      <c r="L12" s="169">
        <v>334.8526627</v>
      </c>
      <c r="M12" s="168">
        <f>'Work Scope'!$T$29</f>
        <v>0</v>
      </c>
      <c r="N12" s="168">
        <f>IF(M12=0,0,IF('Project Information'!$J$9="X",((K12*M12)+(L12*M12*$J$21)),(L12*M12*$J$21)))</f>
        <v>0</v>
      </c>
    </row>
    <row r="13" spans="1:17" x14ac:dyDescent="0.25">
      <c r="A13" s="162">
        <v>1406</v>
      </c>
      <c r="B13" t="s">
        <v>40</v>
      </c>
      <c r="C13" s="167">
        <f>'Work Scope'!$T$37</f>
        <v>0</v>
      </c>
      <c r="D13" s="169">
        <v>1339.9822300000001</v>
      </c>
      <c r="E13" s="169">
        <v>0</v>
      </c>
      <c r="F13" s="168">
        <f>'Work Scope'!$T$37</f>
        <v>0</v>
      </c>
      <c r="G13" s="168">
        <f t="shared" si="0"/>
        <v>0</v>
      </c>
      <c r="H13" s="162"/>
      <c r="I13" t="s">
        <v>40</v>
      </c>
      <c r="J13" s="167">
        <f>'Work Scope'!$T$37</f>
        <v>0</v>
      </c>
      <c r="K13" s="169">
        <v>224.0992674</v>
      </c>
      <c r="L13" s="169">
        <v>69.524033579999994</v>
      </c>
      <c r="M13" s="168">
        <f>'Work Scope'!$T$37</f>
        <v>0</v>
      </c>
      <c r="N13" s="168">
        <f>IF(M13=0,0,IF('Project Information'!$J$9="X",((K13*M13)+(L13*M13*$J$21)),(L13*M13*$J$21)))</f>
        <v>0</v>
      </c>
    </row>
    <row r="14" spans="1:17" x14ac:dyDescent="0.25">
      <c r="A14" s="162"/>
      <c r="E14" s="7" t="s">
        <v>462</v>
      </c>
      <c r="G14" s="182">
        <f>SUM(G4:G13)</f>
        <v>0</v>
      </c>
      <c r="H14" s="162"/>
      <c r="L14" s="7" t="s">
        <v>461</v>
      </c>
      <c r="N14" s="182">
        <f>SUM(N4:N13)</f>
        <v>0</v>
      </c>
    </row>
    <row r="15" spans="1:17" x14ac:dyDescent="0.25">
      <c r="A15" s="162"/>
    </row>
    <row r="16" spans="1:17" x14ac:dyDescent="0.25">
      <c r="A16" s="162"/>
      <c r="B16" s="7" t="s">
        <v>91</v>
      </c>
      <c r="H16" s="162"/>
    </row>
    <row r="17" spans="1:11" x14ac:dyDescent="0.25">
      <c r="A17" s="162"/>
      <c r="B17" t="s">
        <v>51</v>
      </c>
      <c r="C17" s="167">
        <f>'Work Scope'!N35</f>
        <v>0</v>
      </c>
      <c r="D17" s="169">
        <v>216.9</v>
      </c>
      <c r="E17" s="169">
        <v>0</v>
      </c>
      <c r="F17" s="168">
        <f>'Work Scope'!T35</f>
        <v>0</v>
      </c>
      <c r="G17" s="168">
        <f>IF(F17=0,0,(D17*F17))</f>
        <v>0</v>
      </c>
      <c r="H17" s="162"/>
      <c r="I17" t="s">
        <v>455</v>
      </c>
    </row>
    <row r="18" spans="1:11" x14ac:dyDescent="0.25">
      <c r="A18" s="162"/>
      <c r="B18" t="s">
        <v>438</v>
      </c>
      <c r="C18" s="167">
        <f>IF(Measures!I42='Work Scope'!D39,'Work Scope'!N39,0)</f>
        <v>0</v>
      </c>
      <c r="D18" s="169">
        <v>2529.4722529999999</v>
      </c>
      <c r="E18" s="169">
        <v>0</v>
      </c>
      <c r="F18" s="168">
        <f>IF(Measures!I42='Work Scope'!D39,'Work Scope'!T39,0)</f>
        <v>0</v>
      </c>
      <c r="G18" s="168">
        <f>IF(F18=0,0,(D18*F18))</f>
        <v>0</v>
      </c>
      <c r="H18" s="162"/>
      <c r="I18" t="s">
        <v>456</v>
      </c>
    </row>
    <row r="19" spans="1:11" x14ac:dyDescent="0.25">
      <c r="A19" s="162"/>
      <c r="B19" t="s">
        <v>439</v>
      </c>
      <c r="C19" s="167">
        <f>IF(Measures!I44='Work Scope'!D39,'Work Scope'!N39,0)</f>
        <v>0</v>
      </c>
      <c r="D19" s="169">
        <v>0</v>
      </c>
      <c r="E19" s="169">
        <v>47.651491630000002</v>
      </c>
      <c r="F19" s="168">
        <f>IF(Measures!I44='Work Scope'!D39,'Work Scope'!T39,0)</f>
        <v>0</v>
      </c>
      <c r="G19" s="168">
        <f>IF(F19=0,0,(E19*F19*J21))</f>
        <v>0</v>
      </c>
      <c r="H19" s="162"/>
      <c r="J19" s="162"/>
      <c r="K19" s="162"/>
    </row>
    <row r="20" spans="1:11" x14ac:dyDescent="0.25">
      <c r="A20" s="162"/>
      <c r="B20" t="s">
        <v>1426</v>
      </c>
      <c r="C20" s="167">
        <f>IF(Measures!I43='Work Scope'!D39,'Work Scope'!N39,0)</f>
        <v>0</v>
      </c>
      <c r="D20" s="169">
        <v>0</v>
      </c>
      <c r="E20" s="169">
        <v>89.480968390000001</v>
      </c>
      <c r="F20" s="168">
        <f>IF(Measures!I43='Work Scope'!D39,'Work Scope'!T39,0)</f>
        <v>0</v>
      </c>
      <c r="G20" s="168">
        <f>IF(F20=0,0,(E20*F20*J21))</f>
        <v>0</v>
      </c>
      <c r="H20" s="162"/>
      <c r="J20" s="162"/>
      <c r="K20" s="162"/>
    </row>
    <row r="21" spans="1:11" ht="14.45" customHeight="1" x14ac:dyDescent="0.25">
      <c r="A21" s="162"/>
      <c r="B21" t="s">
        <v>42</v>
      </c>
      <c r="C21" s="167">
        <f>'Work Scope'!N41</f>
        <v>0</v>
      </c>
      <c r="D21" s="169">
        <v>233.8057014</v>
      </c>
      <c r="E21" s="169">
        <v>0</v>
      </c>
      <c r="F21" s="168">
        <f>'Work Scope'!T41</f>
        <v>0</v>
      </c>
      <c r="G21" s="168">
        <f>IF(F21=0,0,(D21*F21))</f>
        <v>0</v>
      </c>
      <c r="H21" s="162"/>
      <c r="I21" s="162" t="s">
        <v>468</v>
      </c>
      <c r="J21" s="162">
        <v>29.3</v>
      </c>
      <c r="K21" s="162" t="s">
        <v>467</v>
      </c>
    </row>
    <row r="22" spans="1:11" x14ac:dyDescent="0.25">
      <c r="A22" s="162"/>
      <c r="B22" t="str">
        <f>'Work Scope'!D43</f>
        <v>Natural Gas Furnace [95% AFUE]</v>
      </c>
      <c r="C22" s="167">
        <f>'Work Scope'!N43</f>
        <v>0</v>
      </c>
      <c r="D22" s="169">
        <v>0</v>
      </c>
      <c r="E22" s="169">
        <f>IF('Work Scope'!D43=Measures!I3,277.695,IF('Work Scope'!D43=Measures!I4,582.116,0))</f>
        <v>277.69499999999999</v>
      </c>
      <c r="F22" s="168">
        <f>'Work Scope'!T43</f>
        <v>0</v>
      </c>
      <c r="G22" s="168">
        <f>IF(F22=0,0,(E22*F22*J21))</f>
        <v>0</v>
      </c>
      <c r="H22" s="162"/>
      <c r="I22" s="162"/>
      <c r="J22" s="162"/>
      <c r="K22" s="162"/>
    </row>
    <row r="23" spans="1:11" x14ac:dyDescent="0.25">
      <c r="A23" s="162"/>
      <c r="B23" t="str">
        <f>'Work Scope'!D45</f>
        <v>Natural Gas Furnace [95% AFUE]</v>
      </c>
      <c r="C23" s="167">
        <f>'Work Scope'!N45</f>
        <v>0</v>
      </c>
      <c r="D23" s="169">
        <v>0</v>
      </c>
      <c r="E23" s="169">
        <f>IF('Work Scope'!D45=Measures!I3,277.695,IF('Work Scope'!D45=Measures!I4,582.116,0))</f>
        <v>277.69499999999999</v>
      </c>
      <c r="F23" s="168">
        <f>'Work Scope'!T45</f>
        <v>0</v>
      </c>
      <c r="G23" s="168">
        <f>IF(F23=0,0,(E23*F23*J21))</f>
        <v>0</v>
      </c>
      <c r="H23" s="162"/>
      <c r="I23" s="162"/>
      <c r="J23" s="162"/>
      <c r="K23" s="162"/>
    </row>
    <row r="24" spans="1:11" x14ac:dyDescent="0.25">
      <c r="A24" s="162"/>
      <c r="B24" t="str">
        <f>'Work Scope'!D47</f>
        <v>HVAC System 1</v>
      </c>
      <c r="C24" s="167">
        <f>'Work Scope'!N47</f>
        <v>0</v>
      </c>
      <c r="D24" s="169">
        <f>IF(AND('Project Information'!D30=Lists!A10,'Work Scope'!D47=Measures!N21),10106.082,
IF(AND('Project Information'!D30=Lists!A12,'Work Scope'!D47=Measures!N21),6078.11,
IF(AND(OR('Project Information'!D30=Lists!A8,'Project Information'!D30=Lists!A9),'Work Scope'!D47=Measures!N21),1003.688,
IF(AND('Project Information'!D30=Lists!A10,'Work Scope'!D47=Measures!N22),10159.164,
IF(AND('Project Information'!D30=Lists!A12,'Work Scope'!D47=Measures!N22),5372.341,
IF(AND(OR('Project Information'!D30=Lists!A8,'Project Information'!D30=Lists!A9),'Work Scope'!D47=Measures!N22),1651.341,0))))))</f>
        <v>0</v>
      </c>
      <c r="E24" s="169">
        <v>0</v>
      </c>
      <c r="F24" s="168">
        <f>'Work Scope'!T47</f>
        <v>0</v>
      </c>
      <c r="G24" s="168">
        <f>IF(F24=0,0,(D24*F24))</f>
        <v>0</v>
      </c>
      <c r="H24" s="162"/>
      <c r="I24" s="162"/>
      <c r="J24" s="162"/>
      <c r="K24" s="162"/>
    </row>
    <row r="25" spans="1:11" x14ac:dyDescent="0.25">
      <c r="A25" s="162"/>
      <c r="B25" t="str">
        <f>'Work Scope'!D50</f>
        <v>HVAC System 2</v>
      </c>
      <c r="C25" s="167">
        <f>'Work Scope'!N50</f>
        <v>0</v>
      </c>
      <c r="D25" s="169">
        <f>IF(AND('Project Information'!D30=Lists!A10,'Work Scope'!D50=Measures!N25),10106.082,
IF(AND('Project Information'!D30=Lists!A12,'Work Scope'!D50=Measures!N25),6078.11,
IF(AND(OR('Project Information'!D30=Lists!A8,'Project Information'!D30=Lists!A9),'Work Scope'!D50=Measures!N25),1003.688,
IF(AND('Project Information'!D30=Lists!A10,'Work Scope'!D50=Measures!N26),10159.164,
IF(AND('Project Information'!D30=Lists!A12,'Work Scope'!D50=Measures!N26),5372.341,
IF(AND(OR('Project Information'!D30=Lists!A8,'Project Information'!D30=Lists!A9),'Work Scope'!D50=Measures!N26),1651.341,0))))))</f>
        <v>0</v>
      </c>
      <c r="E25" s="169">
        <v>0</v>
      </c>
      <c r="F25" s="168">
        <f>'Work Scope'!T50</f>
        <v>0</v>
      </c>
      <c r="G25" s="168">
        <f>IF(F25=0,0,(D25*F25))</f>
        <v>0</v>
      </c>
      <c r="H25" s="162"/>
      <c r="I25" s="162"/>
      <c r="J25" s="162"/>
      <c r="K25" s="162"/>
    </row>
    <row r="26" spans="1:11" x14ac:dyDescent="0.25">
      <c r="A26" s="162"/>
      <c r="B26" t="s">
        <v>434</v>
      </c>
      <c r="C26" s="167">
        <v>250</v>
      </c>
      <c r="D26" s="169">
        <v>538.11677210000005</v>
      </c>
      <c r="E26" s="169">
        <v>0</v>
      </c>
      <c r="F26" s="168">
        <f>IF('Work Scope'!D43=Measures!I3,'Work Scope'!T43,0)</f>
        <v>0</v>
      </c>
      <c r="G26" s="168">
        <f>IF(F26=0,0,(D26*F26))</f>
        <v>0</v>
      </c>
      <c r="H26" s="162"/>
      <c r="I26" s="162"/>
      <c r="J26" s="162"/>
      <c r="K26" s="162"/>
    </row>
    <row r="27" spans="1:11" x14ac:dyDescent="0.25">
      <c r="A27" s="162"/>
      <c r="B27" t="s">
        <v>435</v>
      </c>
      <c r="C27" s="166">
        <v>250</v>
      </c>
      <c r="D27" s="169">
        <v>538.11677210000005</v>
      </c>
      <c r="E27" s="169">
        <v>0</v>
      </c>
      <c r="F27" s="168">
        <f>IF('Work Scope'!D45=Measures!I8,'Work Scope'!T45,0)</f>
        <v>0</v>
      </c>
      <c r="G27" s="168">
        <f>IF(F27=0,0,(D27*F27))</f>
        <v>0</v>
      </c>
      <c r="H27" s="162"/>
      <c r="I27" s="162" t="s">
        <v>465</v>
      </c>
      <c r="J27" s="162" t="s">
        <v>466</v>
      </c>
      <c r="K27" s="162"/>
    </row>
    <row r="28" spans="1:11" x14ac:dyDescent="0.25">
      <c r="A28" s="162"/>
      <c r="E28" s="178" t="s">
        <v>459</v>
      </c>
      <c r="G28" s="182">
        <f>SUM(G17:G27)</f>
        <v>0</v>
      </c>
      <c r="H28" s="162" t="e">
        <f>'Work Scope'!X53/'Project Score'!G28</f>
        <v>#DIV/0!</v>
      </c>
      <c r="I28">
        <f>'Work Scope'!X31+'Work Scope'!X53</f>
        <v>0</v>
      </c>
      <c r="J28" t="e">
        <f>I28/G31</f>
        <v>#DIV/0!</v>
      </c>
      <c r="K28" s="162"/>
    </row>
    <row r="29" spans="1:11" x14ac:dyDescent="0.25">
      <c r="E29" s="7" t="s">
        <v>460</v>
      </c>
      <c r="G29" s="168">
        <f>IF(OR('Project Information'!D30=Lists!A8,'Project Information'!D30=Lists!A9),N14,IF(OR('Project Information'!D30=Lists!A10,'Project Information'!D30=Lists!A12),G14,0))</f>
        <v>0</v>
      </c>
      <c r="H29" s="162" t="e">
        <f>'Work Scope'!X31/'Project Score'!G29</f>
        <v>#DIV/0!</v>
      </c>
      <c r="I29" s="162"/>
    </row>
    <row r="31" spans="1:11" x14ac:dyDescent="0.25">
      <c r="B31" t="s">
        <v>464</v>
      </c>
      <c r="G31" s="182">
        <f>SUM(G28:G29)</f>
        <v>0</v>
      </c>
    </row>
    <row r="32" spans="1:11" x14ac:dyDescent="0.25">
      <c r="B32" t="s">
        <v>75</v>
      </c>
      <c r="C32" s="165">
        <f>'Work Scope'!AD66</f>
        <v>0</v>
      </c>
      <c r="D32" s="169">
        <v>0</v>
      </c>
      <c r="E32" s="169">
        <v>0</v>
      </c>
      <c r="F32" s="168">
        <v>1</v>
      </c>
      <c r="G32" s="168">
        <v>0</v>
      </c>
    </row>
    <row r="33" spans="2:7" x14ac:dyDescent="0.25">
      <c r="B33" t="s">
        <v>48</v>
      </c>
      <c r="C33" s="183">
        <f>'Work Scope'!AH79</f>
        <v>0</v>
      </c>
      <c r="D33" s="169">
        <v>0</v>
      </c>
      <c r="E33" s="169">
        <v>0</v>
      </c>
      <c r="F33" s="168">
        <v>1</v>
      </c>
      <c r="G33" s="168">
        <v>0</v>
      </c>
    </row>
    <row r="34" spans="2:7" x14ac:dyDescent="0.25">
      <c r="B34" t="s">
        <v>394</v>
      </c>
      <c r="C34" s="183">
        <f>'Work Scope'!X31+'Work Scope'!X53+'Work Scope'!AD66+'Work Scope'!AD79</f>
        <v>0</v>
      </c>
      <c r="D34" s="169"/>
      <c r="E34" s="169"/>
      <c r="F34" s="168"/>
      <c r="G34" s="168"/>
    </row>
    <row r="35" spans="2:7" x14ac:dyDescent="0.25">
      <c r="B35" s="7" t="s">
        <v>463</v>
      </c>
      <c r="C35" s="162" t="e">
        <f>C34/G31</f>
        <v>#DIV/0!</v>
      </c>
      <c r="D35" s="162"/>
      <c r="F35" s="162"/>
      <c r="G35" s="162"/>
    </row>
    <row r="37" spans="2:7" x14ac:dyDescent="0.25">
      <c r="B37" t="s">
        <v>444</v>
      </c>
    </row>
    <row r="38" spans="2:7" x14ac:dyDescent="0.25">
      <c r="B38" t="s">
        <v>440</v>
      </c>
    </row>
    <row r="39" spans="2:7" x14ac:dyDescent="0.25">
      <c r="B39" t="s">
        <v>453</v>
      </c>
    </row>
    <row r="40" spans="2:7" x14ac:dyDescent="0.25">
      <c r="B40" t="s">
        <v>1615</v>
      </c>
    </row>
    <row r="41" spans="2:7" x14ac:dyDescent="0.25">
      <c r="B41" t="s">
        <v>1713</v>
      </c>
    </row>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1:Z78"/>
  <sheetViews>
    <sheetView topLeftCell="A31" workbookViewId="0">
      <selection activeCell="K54" sqref="K54"/>
    </sheetView>
  </sheetViews>
  <sheetFormatPr defaultRowHeight="15" x14ac:dyDescent="0.25"/>
  <cols>
    <col min="1" max="1" width="20.140625" bestFit="1" customWidth="1"/>
    <col min="4" max="4" width="27.140625" bestFit="1" customWidth="1"/>
    <col min="7" max="7" width="25.7109375" customWidth="1"/>
  </cols>
  <sheetData>
    <row r="1" spans="1:26" x14ac:dyDescent="0.25">
      <c r="L1" t="s">
        <v>454</v>
      </c>
    </row>
    <row r="2" spans="1:26" x14ac:dyDescent="0.25">
      <c r="A2" s="3" t="s">
        <v>483</v>
      </c>
      <c r="D2" t="s">
        <v>29</v>
      </c>
      <c r="G2" t="s">
        <v>83</v>
      </c>
      <c r="J2" t="s">
        <v>23</v>
      </c>
      <c r="L2" t="s">
        <v>441</v>
      </c>
      <c r="N2" t="s">
        <v>27</v>
      </c>
      <c r="T2">
        <v>1</v>
      </c>
      <c r="V2" t="s">
        <v>974</v>
      </c>
      <c r="X2" t="s">
        <v>976</v>
      </c>
      <c r="Z2" t="s">
        <v>530</v>
      </c>
    </row>
    <row r="3" spans="1:26" x14ac:dyDescent="0.25">
      <c r="A3" s="3" t="s">
        <v>41</v>
      </c>
      <c r="D3" t="s">
        <v>30</v>
      </c>
      <c r="G3" t="s">
        <v>84</v>
      </c>
      <c r="J3" t="s">
        <v>24</v>
      </c>
      <c r="N3" t="s">
        <v>29</v>
      </c>
      <c r="T3">
        <v>2</v>
      </c>
      <c r="V3" t="s">
        <v>975</v>
      </c>
      <c r="X3" t="s">
        <v>977</v>
      </c>
    </row>
    <row r="4" spans="1:26" x14ac:dyDescent="0.25">
      <c r="A4" s="3" t="s">
        <v>26</v>
      </c>
      <c r="D4" t="s">
        <v>27</v>
      </c>
      <c r="G4" t="s">
        <v>85</v>
      </c>
      <c r="J4" t="s">
        <v>25</v>
      </c>
      <c r="L4" t="str">
        <f>TRIM(L1)</f>
        <v/>
      </c>
      <c r="T4">
        <v>3</v>
      </c>
    </row>
    <row r="5" spans="1:26" x14ac:dyDescent="0.25">
      <c r="A5" s="3" t="s">
        <v>8</v>
      </c>
      <c r="D5" t="s">
        <v>31</v>
      </c>
      <c r="G5" t="s">
        <v>86</v>
      </c>
      <c r="J5" t="s">
        <v>8</v>
      </c>
      <c r="L5">
        <f>LEN(L4)</f>
        <v>0</v>
      </c>
      <c r="N5" s="7" t="s">
        <v>511</v>
      </c>
    </row>
    <row r="6" spans="1:26" x14ac:dyDescent="0.25">
      <c r="D6" t="s">
        <v>18</v>
      </c>
      <c r="G6" t="s">
        <v>87</v>
      </c>
    </row>
    <row r="7" spans="1:26" x14ac:dyDescent="0.25">
      <c r="A7" s="3"/>
      <c r="G7" t="s">
        <v>88</v>
      </c>
      <c r="J7" t="s">
        <v>109</v>
      </c>
      <c r="N7" s="198" t="s">
        <v>241</v>
      </c>
      <c r="T7" t="s">
        <v>920</v>
      </c>
      <c r="X7" t="s">
        <v>993</v>
      </c>
    </row>
    <row r="8" spans="1:26" x14ac:dyDescent="0.25">
      <c r="A8" s="3" t="s">
        <v>9</v>
      </c>
      <c r="G8" t="s">
        <v>89</v>
      </c>
      <c r="J8" t="s">
        <v>110</v>
      </c>
      <c r="N8" t="s">
        <v>1642</v>
      </c>
      <c r="T8" t="s">
        <v>995</v>
      </c>
      <c r="X8" t="s">
        <v>998</v>
      </c>
    </row>
    <row r="9" spans="1:26" x14ac:dyDescent="0.25">
      <c r="A9" s="3" t="s">
        <v>10</v>
      </c>
      <c r="D9" t="s">
        <v>32</v>
      </c>
      <c r="N9" s="198" t="s">
        <v>246</v>
      </c>
      <c r="T9" t="s">
        <v>924</v>
      </c>
      <c r="X9" t="s">
        <v>999</v>
      </c>
    </row>
    <row r="10" spans="1:26" x14ac:dyDescent="0.25">
      <c r="A10" s="3" t="s">
        <v>1770</v>
      </c>
      <c r="D10" t="s">
        <v>33</v>
      </c>
      <c r="N10" s="199" t="s">
        <v>249</v>
      </c>
      <c r="T10" t="s">
        <v>926</v>
      </c>
      <c r="X10" t="s">
        <v>54</v>
      </c>
    </row>
    <row r="11" spans="1:26" x14ac:dyDescent="0.25">
      <c r="A11" s="3" t="s">
        <v>1771</v>
      </c>
      <c r="D11" t="s">
        <v>34</v>
      </c>
      <c r="G11" t="s">
        <v>90</v>
      </c>
      <c r="J11">
        <v>0</v>
      </c>
      <c r="N11" s="199" t="s">
        <v>251</v>
      </c>
      <c r="T11" t="s">
        <v>928</v>
      </c>
      <c r="X11" t="s">
        <v>994</v>
      </c>
    </row>
    <row r="12" spans="1:26" x14ac:dyDescent="0.25">
      <c r="A12" s="3" t="s">
        <v>41</v>
      </c>
      <c r="D12" t="s">
        <v>31</v>
      </c>
      <c r="G12" t="s">
        <v>91</v>
      </c>
      <c r="J12">
        <v>1</v>
      </c>
      <c r="N12" t="s">
        <v>1665</v>
      </c>
      <c r="T12" t="s">
        <v>996</v>
      </c>
      <c r="X12" t="s">
        <v>1000</v>
      </c>
    </row>
    <row r="13" spans="1:26" x14ac:dyDescent="0.25">
      <c r="A13" s="3" t="s">
        <v>498</v>
      </c>
      <c r="D13" t="s">
        <v>18</v>
      </c>
      <c r="G13" t="s">
        <v>92</v>
      </c>
      <c r="J13">
        <v>2</v>
      </c>
      <c r="N13" s="2" t="s">
        <v>271</v>
      </c>
      <c r="X13" t="s">
        <v>1001</v>
      </c>
    </row>
    <row r="14" spans="1:26" x14ac:dyDescent="0.25">
      <c r="A14" s="3" t="s">
        <v>499</v>
      </c>
      <c r="J14">
        <v>3</v>
      </c>
      <c r="N14" s="198" t="s">
        <v>286</v>
      </c>
      <c r="T14">
        <v>1</v>
      </c>
      <c r="U14">
        <v>1</v>
      </c>
      <c r="V14">
        <v>0.44</v>
      </c>
      <c r="X14" t="s">
        <v>1002</v>
      </c>
    </row>
    <row r="15" spans="1:26" x14ac:dyDescent="0.25">
      <c r="A15" s="3" t="s">
        <v>28</v>
      </c>
      <c r="J15">
        <v>4</v>
      </c>
      <c r="N15" s="2" t="s">
        <v>288</v>
      </c>
      <c r="T15">
        <v>1.5</v>
      </c>
      <c r="U15">
        <v>1.18</v>
      </c>
      <c r="V15">
        <v>0.47</v>
      </c>
    </row>
    <row r="16" spans="1:26" x14ac:dyDescent="0.25">
      <c r="A16" s="3" t="s">
        <v>18</v>
      </c>
      <c r="D16" s="7" t="s">
        <v>133</v>
      </c>
      <c r="G16" t="s">
        <v>147</v>
      </c>
      <c r="N16" s="198" t="s">
        <v>292</v>
      </c>
      <c r="T16">
        <v>2</v>
      </c>
      <c r="U16">
        <v>1.32</v>
      </c>
      <c r="V16">
        <v>0.48</v>
      </c>
    </row>
    <row r="17" spans="1:22" x14ac:dyDescent="0.25">
      <c r="G17" t="s">
        <v>148</v>
      </c>
      <c r="T17">
        <v>2.5</v>
      </c>
      <c r="U17">
        <v>1.44</v>
      </c>
      <c r="V17">
        <v>0.51</v>
      </c>
    </row>
    <row r="18" spans="1:22" x14ac:dyDescent="0.25">
      <c r="D18" t="s">
        <v>134</v>
      </c>
      <c r="G18" t="s">
        <v>149</v>
      </c>
      <c r="T18">
        <v>3</v>
      </c>
      <c r="U18">
        <v>1.55</v>
      </c>
      <c r="V18">
        <v>0.55000000000000004</v>
      </c>
    </row>
    <row r="19" spans="1:22" x14ac:dyDescent="0.25">
      <c r="A19" t="s">
        <v>11</v>
      </c>
      <c r="D19" t="s">
        <v>113</v>
      </c>
      <c r="V19">
        <v>0.56000000000000005</v>
      </c>
    </row>
    <row r="20" spans="1:22" x14ac:dyDescent="0.25">
      <c r="A20" t="s">
        <v>12</v>
      </c>
      <c r="D20" t="s">
        <v>135</v>
      </c>
      <c r="V20">
        <v>0.56999999999999995</v>
      </c>
    </row>
    <row r="21" spans="1:22" x14ac:dyDescent="0.25">
      <c r="A21" t="s">
        <v>13</v>
      </c>
      <c r="D21" t="s">
        <v>18</v>
      </c>
      <c r="G21" t="s">
        <v>152</v>
      </c>
      <c r="L21" t="s">
        <v>79</v>
      </c>
      <c r="V21">
        <v>0.57999999999999996</v>
      </c>
    </row>
    <row r="22" spans="1:22" x14ac:dyDescent="0.25">
      <c r="A22" t="s">
        <v>14</v>
      </c>
      <c r="G22" t="s">
        <v>79</v>
      </c>
      <c r="V22">
        <v>0.6</v>
      </c>
    </row>
    <row r="23" spans="1:22" x14ac:dyDescent="0.25">
      <c r="A23" t="s">
        <v>15</v>
      </c>
    </row>
    <row r="24" spans="1:22" x14ac:dyDescent="0.25">
      <c r="A24" t="s">
        <v>16</v>
      </c>
      <c r="D24" t="s">
        <v>143</v>
      </c>
      <c r="S24" s="7" t="s">
        <v>1496</v>
      </c>
    </row>
    <row r="25" spans="1:22" x14ac:dyDescent="0.25">
      <c r="A25" t="s">
        <v>17</v>
      </c>
      <c r="D25" t="s">
        <v>144</v>
      </c>
      <c r="G25" s="239" t="s">
        <v>363</v>
      </c>
      <c r="H25" s="149"/>
      <c r="I25" s="149"/>
      <c r="J25" s="149"/>
      <c r="K25" s="149"/>
      <c r="L25" s="149"/>
      <c r="M25" s="149" t="s">
        <v>390</v>
      </c>
      <c r="N25" s="149"/>
      <c r="O25" s="149"/>
      <c r="P25" s="149"/>
      <c r="Q25" s="149"/>
    </row>
    <row r="26" spans="1:22" ht="14.45" customHeight="1" x14ac:dyDescent="0.25">
      <c r="A26" t="s">
        <v>18</v>
      </c>
      <c r="D26" t="s">
        <v>145</v>
      </c>
      <c r="G26" s="240" t="s">
        <v>364</v>
      </c>
      <c r="H26" s="150"/>
      <c r="I26" s="150"/>
      <c r="J26" s="150"/>
      <c r="K26" s="150"/>
      <c r="L26" s="150"/>
      <c r="M26" s="150" t="s">
        <v>369</v>
      </c>
      <c r="N26" s="150"/>
      <c r="O26" s="150"/>
      <c r="P26" s="150"/>
      <c r="Q26" s="150"/>
      <c r="S26" t="s">
        <v>1638</v>
      </c>
      <c r="T26" s="8">
        <v>1</v>
      </c>
    </row>
    <row r="27" spans="1:22" ht="14.45" customHeight="1" x14ac:dyDescent="0.25">
      <c r="D27" t="s">
        <v>43</v>
      </c>
      <c r="G27" s="239" t="s">
        <v>365</v>
      </c>
      <c r="H27" s="151"/>
      <c r="I27" s="151"/>
      <c r="J27" s="151"/>
      <c r="K27" s="151"/>
      <c r="L27" s="151"/>
      <c r="M27" s="151" t="s">
        <v>385</v>
      </c>
      <c r="N27" s="151"/>
      <c r="O27" s="151"/>
      <c r="P27" s="151"/>
      <c r="Q27" s="151"/>
      <c r="S27" t="s">
        <v>1491</v>
      </c>
      <c r="T27" s="415">
        <v>0.25</v>
      </c>
    </row>
    <row r="28" spans="1:22" x14ac:dyDescent="0.25">
      <c r="D28" t="s">
        <v>27</v>
      </c>
      <c r="G28" s="239" t="s">
        <v>366</v>
      </c>
      <c r="H28" s="151"/>
      <c r="I28" s="151"/>
      <c r="J28" s="151"/>
      <c r="K28" s="151"/>
      <c r="L28" s="151"/>
      <c r="M28" s="151" t="s">
        <v>389</v>
      </c>
      <c r="N28" s="151"/>
      <c r="O28" s="151"/>
      <c r="P28" s="151"/>
      <c r="Q28" s="151"/>
      <c r="S28" t="s">
        <v>1492</v>
      </c>
      <c r="T28" s="415">
        <v>0.45</v>
      </c>
    </row>
    <row r="29" spans="1:22" x14ac:dyDescent="0.25">
      <c r="A29" s="3" t="s">
        <v>19</v>
      </c>
      <c r="D29" t="s">
        <v>18</v>
      </c>
      <c r="G29" s="239" t="s">
        <v>367</v>
      </c>
      <c r="H29" s="151"/>
      <c r="I29" s="151"/>
      <c r="J29" s="151"/>
      <c r="K29" s="151"/>
      <c r="L29" s="151"/>
      <c r="M29" s="151" t="s">
        <v>565</v>
      </c>
      <c r="N29" s="151"/>
      <c r="O29" s="151"/>
      <c r="P29" s="151"/>
      <c r="Q29" s="151"/>
      <c r="S29" t="s">
        <v>1493</v>
      </c>
      <c r="T29" s="415">
        <v>0.75</v>
      </c>
    </row>
    <row r="30" spans="1:22" ht="14.45" customHeight="1" x14ac:dyDescent="0.25">
      <c r="A30" s="3" t="s">
        <v>20</v>
      </c>
      <c r="D30" t="s">
        <v>31</v>
      </c>
      <c r="G30" s="239" t="s">
        <v>368</v>
      </c>
      <c r="H30" s="151"/>
      <c r="I30" s="151"/>
      <c r="J30" s="151"/>
      <c r="K30" s="151"/>
      <c r="L30" s="151"/>
      <c r="M30" s="151" t="s">
        <v>388</v>
      </c>
      <c r="N30" s="151"/>
      <c r="O30" s="151"/>
      <c r="P30" s="151"/>
      <c r="Q30" s="151"/>
      <c r="S30" t="s">
        <v>1494</v>
      </c>
      <c r="T30" s="415">
        <v>0.9</v>
      </c>
    </row>
    <row r="31" spans="1:22" x14ac:dyDescent="0.25">
      <c r="A31" s="3" t="s">
        <v>21</v>
      </c>
      <c r="G31" s="239" t="s">
        <v>369</v>
      </c>
      <c r="H31" s="151"/>
      <c r="I31" s="151"/>
      <c r="J31" s="151"/>
      <c r="K31" s="151"/>
      <c r="L31" s="151"/>
      <c r="M31" s="151" t="s">
        <v>386</v>
      </c>
      <c r="N31" s="151"/>
      <c r="O31" s="151"/>
      <c r="P31" s="151"/>
      <c r="Q31" s="151"/>
      <c r="S31" t="s">
        <v>1495</v>
      </c>
      <c r="T31" s="415">
        <v>0.95</v>
      </c>
    </row>
    <row r="32" spans="1:22" ht="14.45" customHeight="1" x14ac:dyDescent="0.25">
      <c r="A32" s="3" t="s">
        <v>22</v>
      </c>
      <c r="G32" s="239" t="s">
        <v>370</v>
      </c>
      <c r="H32" s="151"/>
      <c r="I32" s="151"/>
      <c r="J32" s="151"/>
      <c r="K32" s="151"/>
      <c r="L32" s="151"/>
      <c r="M32" s="149" t="s">
        <v>392</v>
      </c>
      <c r="N32" s="151"/>
      <c r="O32" s="151"/>
      <c r="P32" s="151"/>
      <c r="Q32" s="151"/>
    </row>
    <row r="33" spans="1:19" ht="14.45" customHeight="1" x14ac:dyDescent="0.25">
      <c r="G33" s="239" t="s">
        <v>371</v>
      </c>
      <c r="H33" s="151"/>
      <c r="I33" s="151"/>
      <c r="J33" s="151"/>
      <c r="K33" s="151"/>
      <c r="L33" s="151"/>
      <c r="M33" s="149" t="s">
        <v>391</v>
      </c>
      <c r="N33" s="151"/>
      <c r="O33" s="151"/>
      <c r="P33" s="151"/>
      <c r="Q33" s="151"/>
    </row>
    <row r="34" spans="1:19" ht="14.45" customHeight="1" x14ac:dyDescent="0.25">
      <c r="G34" s="239" t="s">
        <v>372</v>
      </c>
      <c r="H34" s="151"/>
      <c r="I34" s="151"/>
      <c r="J34" s="151"/>
      <c r="K34" s="151"/>
      <c r="L34" s="151"/>
      <c r="M34" s="151" t="s">
        <v>366</v>
      </c>
      <c r="N34" s="151"/>
      <c r="O34" s="151"/>
      <c r="P34" s="151"/>
      <c r="Q34" s="151"/>
      <c r="S34" t="s">
        <v>1597</v>
      </c>
    </row>
    <row r="35" spans="1:19" x14ac:dyDescent="0.25">
      <c r="A35" s="18" t="s">
        <v>125</v>
      </c>
      <c r="G35" s="239" t="s">
        <v>373</v>
      </c>
      <c r="H35" s="151"/>
      <c r="I35" s="151"/>
      <c r="J35" s="151"/>
      <c r="K35" s="151"/>
      <c r="L35" s="151"/>
      <c r="M35" s="151" t="s">
        <v>383</v>
      </c>
      <c r="N35" s="151"/>
      <c r="O35" s="151"/>
      <c r="P35" s="151"/>
      <c r="Q35" s="151"/>
    </row>
    <row r="36" spans="1:19" ht="14.45" customHeight="1" x14ac:dyDescent="0.25">
      <c r="A36" s="3" t="s">
        <v>136</v>
      </c>
      <c r="G36" s="239" t="s">
        <v>374</v>
      </c>
      <c r="H36" s="151"/>
      <c r="I36" s="151"/>
      <c r="J36" s="151"/>
      <c r="K36" s="151"/>
      <c r="L36" s="151"/>
      <c r="M36" s="151" t="s">
        <v>384</v>
      </c>
      <c r="N36" s="151"/>
      <c r="O36" s="151"/>
      <c r="P36" s="151"/>
      <c r="Q36" s="151"/>
      <c r="S36" t="s">
        <v>1599</v>
      </c>
    </row>
    <row r="37" spans="1:19" x14ac:dyDescent="0.25">
      <c r="A37" s="3" t="s">
        <v>137</v>
      </c>
      <c r="G37" s="239" t="s">
        <v>375</v>
      </c>
      <c r="H37" s="151"/>
      <c r="I37" s="151"/>
      <c r="J37" s="151"/>
      <c r="K37" s="151"/>
      <c r="L37" s="151"/>
      <c r="M37" s="151" t="s">
        <v>368</v>
      </c>
      <c r="N37" s="151"/>
      <c r="O37" s="151"/>
      <c r="P37" s="151"/>
      <c r="Q37" s="151"/>
      <c r="S37" t="s">
        <v>1600</v>
      </c>
    </row>
    <row r="38" spans="1:19" ht="14.45" customHeight="1" x14ac:dyDescent="0.25">
      <c r="A38" s="3" t="s">
        <v>138</v>
      </c>
      <c r="G38" s="239" t="s">
        <v>376</v>
      </c>
      <c r="H38" s="151"/>
      <c r="I38" s="151"/>
      <c r="J38" s="151"/>
      <c r="K38" s="151"/>
      <c r="L38" s="151"/>
      <c r="M38" s="151" t="s">
        <v>372</v>
      </c>
      <c r="N38" s="151"/>
      <c r="O38" s="151"/>
      <c r="P38" s="151"/>
      <c r="Q38" s="151"/>
    </row>
    <row r="39" spans="1:19" x14ac:dyDescent="0.25">
      <c r="A39" s="3" t="s">
        <v>139</v>
      </c>
      <c r="G39" s="239" t="s">
        <v>377</v>
      </c>
      <c r="H39" s="151"/>
      <c r="I39" s="151"/>
      <c r="J39" s="151"/>
      <c r="K39" s="151"/>
      <c r="L39" s="151"/>
      <c r="M39" s="151" t="s">
        <v>566</v>
      </c>
      <c r="N39" s="151"/>
      <c r="O39" s="151"/>
      <c r="P39" s="151"/>
      <c r="Q39" s="151"/>
      <c r="S39" t="s">
        <v>1601</v>
      </c>
    </row>
    <row r="40" spans="1:19" x14ac:dyDescent="0.25">
      <c r="A40" s="19">
        <v>1</v>
      </c>
      <c r="G40" s="239" t="s">
        <v>378</v>
      </c>
      <c r="H40" s="151"/>
      <c r="I40" s="151"/>
      <c r="J40" s="151"/>
      <c r="K40" s="151"/>
      <c r="L40" s="151"/>
      <c r="M40" s="151" t="s">
        <v>377</v>
      </c>
      <c r="N40" s="151"/>
      <c r="O40" s="151"/>
      <c r="P40" s="151"/>
      <c r="Q40" s="151"/>
      <c r="S40" t="s">
        <v>1602</v>
      </c>
    </row>
    <row r="41" spans="1:19" ht="14.45" customHeight="1" x14ac:dyDescent="0.25">
      <c r="A41" s="3"/>
      <c r="G41" s="239" t="s">
        <v>392</v>
      </c>
      <c r="H41" s="149"/>
      <c r="I41" s="149"/>
      <c r="J41" s="149"/>
      <c r="K41" s="149"/>
      <c r="L41" s="149"/>
      <c r="M41" s="151" t="s">
        <v>375</v>
      </c>
      <c r="N41" s="149"/>
      <c r="O41" s="149"/>
      <c r="P41" s="149"/>
      <c r="Q41" s="149"/>
      <c r="S41" t="s">
        <v>1603</v>
      </c>
    </row>
    <row r="42" spans="1:19" x14ac:dyDescent="0.25">
      <c r="A42" s="3"/>
      <c r="G42" s="239" t="s">
        <v>391</v>
      </c>
      <c r="H42" s="149"/>
      <c r="I42" s="149"/>
      <c r="J42" s="149"/>
      <c r="K42" s="149"/>
      <c r="L42" s="149"/>
      <c r="M42" s="151" t="s">
        <v>387</v>
      </c>
      <c r="N42" s="149"/>
      <c r="O42" s="149"/>
      <c r="P42" s="149"/>
      <c r="Q42" s="149"/>
    </row>
    <row r="43" spans="1:19" ht="14.45" customHeight="1" x14ac:dyDescent="0.25">
      <c r="A43" s="3" t="s">
        <v>126</v>
      </c>
      <c r="G43" s="239" t="s">
        <v>379</v>
      </c>
      <c r="H43" s="149"/>
      <c r="I43" s="149"/>
      <c r="J43" s="149"/>
      <c r="K43" s="149"/>
      <c r="L43" s="149"/>
      <c r="M43" s="151" t="s">
        <v>374</v>
      </c>
      <c r="N43" s="149"/>
      <c r="O43" s="149"/>
      <c r="P43" s="149"/>
      <c r="Q43" s="149"/>
    </row>
    <row r="44" spans="1:19" ht="14.45" customHeight="1" x14ac:dyDescent="0.25">
      <c r="A44" s="3" t="s">
        <v>127</v>
      </c>
      <c r="G44" s="239" t="s">
        <v>380</v>
      </c>
      <c r="H44" s="151"/>
      <c r="I44" s="151"/>
      <c r="J44" s="151"/>
      <c r="K44" s="151"/>
      <c r="L44" s="151"/>
      <c r="M44" s="151" t="s">
        <v>1021</v>
      </c>
      <c r="N44" s="151"/>
      <c r="O44" s="151"/>
      <c r="P44" s="151"/>
      <c r="Q44" s="151"/>
    </row>
    <row r="45" spans="1:19" x14ac:dyDescent="0.25">
      <c r="A45" s="3" t="s">
        <v>128</v>
      </c>
      <c r="G45" s="239" t="s">
        <v>381</v>
      </c>
      <c r="H45" s="151"/>
      <c r="I45" s="151"/>
      <c r="J45" s="151"/>
      <c r="K45" s="151"/>
      <c r="L45" s="151"/>
      <c r="M45" s="151" t="s">
        <v>1022</v>
      </c>
      <c r="N45" s="151"/>
      <c r="O45" s="151"/>
      <c r="P45" s="151"/>
      <c r="Q45" s="151"/>
    </row>
    <row r="46" spans="1:19" x14ac:dyDescent="0.25">
      <c r="A46" s="3" t="s">
        <v>129</v>
      </c>
      <c r="G46" s="239" t="s">
        <v>382</v>
      </c>
      <c r="H46" s="151"/>
      <c r="I46" s="151"/>
      <c r="J46" s="151"/>
      <c r="K46" s="151"/>
      <c r="L46" s="151"/>
      <c r="M46" s="151" t="s">
        <v>373</v>
      </c>
      <c r="N46" s="151"/>
      <c r="O46" s="151"/>
      <c r="P46" s="151"/>
      <c r="Q46" s="151"/>
    </row>
    <row r="47" spans="1:19" x14ac:dyDescent="0.25">
      <c r="A47" s="3" t="s">
        <v>8</v>
      </c>
      <c r="G47" s="239" t="s">
        <v>383</v>
      </c>
      <c r="H47" s="151"/>
      <c r="I47" s="151"/>
      <c r="J47" s="151"/>
      <c r="K47" s="151"/>
      <c r="L47" s="151"/>
      <c r="M47" t="s">
        <v>379</v>
      </c>
      <c r="N47" s="151"/>
      <c r="O47" s="151"/>
      <c r="P47" s="151"/>
      <c r="Q47" s="151"/>
    </row>
    <row r="48" spans="1:19" ht="14.45" customHeight="1" x14ac:dyDescent="0.25">
      <c r="G48" s="239" t="s">
        <v>384</v>
      </c>
      <c r="H48" s="151"/>
      <c r="I48" s="151"/>
      <c r="J48" s="151"/>
      <c r="K48" s="151"/>
      <c r="L48" s="151"/>
      <c r="M48" s="151" t="s">
        <v>382</v>
      </c>
      <c r="N48" s="151"/>
      <c r="O48" s="151"/>
      <c r="P48" s="151"/>
      <c r="Q48" s="151"/>
    </row>
    <row r="49" spans="1:17" x14ac:dyDescent="0.25">
      <c r="A49" s="499" t="s">
        <v>1644</v>
      </c>
      <c r="G49" s="239" t="s">
        <v>385</v>
      </c>
      <c r="H49" s="149"/>
      <c r="I49" s="149"/>
      <c r="J49" s="149"/>
      <c r="K49" s="149"/>
      <c r="L49" s="149"/>
      <c r="M49" s="151" t="s">
        <v>378</v>
      </c>
      <c r="N49" s="149"/>
      <c r="O49" s="149"/>
      <c r="P49" s="149"/>
      <c r="Q49" s="149"/>
    </row>
    <row r="50" spans="1:17" ht="14.45" customHeight="1" x14ac:dyDescent="0.25">
      <c r="G50" s="239" t="s">
        <v>386</v>
      </c>
      <c r="H50" s="151"/>
      <c r="I50" s="151"/>
      <c r="J50" s="151"/>
      <c r="K50" s="151"/>
      <c r="L50" s="151"/>
      <c r="M50" s="151" t="s">
        <v>371</v>
      </c>
      <c r="N50" s="151"/>
      <c r="O50" s="151"/>
      <c r="P50" s="151"/>
      <c r="Q50" s="151"/>
    </row>
    <row r="51" spans="1:17" ht="14.45" customHeight="1" x14ac:dyDescent="0.25">
      <c r="A51" s="506" t="s">
        <v>241</v>
      </c>
      <c r="G51" s="239" t="s">
        <v>387</v>
      </c>
      <c r="H51" s="151"/>
      <c r="I51" s="151"/>
      <c r="J51" s="151"/>
      <c r="K51" s="151"/>
      <c r="L51" s="151"/>
      <c r="M51" s="151" t="s">
        <v>78</v>
      </c>
      <c r="N51" s="151"/>
      <c r="O51" s="151"/>
      <c r="P51" s="151"/>
      <c r="Q51" s="151"/>
    </row>
    <row r="52" spans="1:17" ht="14.45" customHeight="1" x14ac:dyDescent="0.25">
      <c r="A52" s="506" t="s">
        <v>1642</v>
      </c>
      <c r="G52" s="239"/>
      <c r="H52" s="151"/>
      <c r="I52" s="151"/>
      <c r="J52" s="151"/>
      <c r="K52" s="151"/>
      <c r="L52" s="151"/>
      <c r="M52" s="151" t="s">
        <v>1772</v>
      </c>
      <c r="N52" s="151"/>
      <c r="O52" s="151"/>
      <c r="P52" s="151"/>
      <c r="Q52" s="151"/>
    </row>
    <row r="53" spans="1:17" ht="14.45" customHeight="1" x14ac:dyDescent="0.25">
      <c r="A53" s="411" t="s">
        <v>244</v>
      </c>
      <c r="G53" s="239" t="s">
        <v>388</v>
      </c>
      <c r="H53" s="151"/>
      <c r="I53" s="151"/>
      <c r="J53" s="151"/>
      <c r="K53" s="151"/>
      <c r="L53" s="151"/>
      <c r="M53" s="151" t="s">
        <v>365</v>
      </c>
      <c r="N53" s="151"/>
      <c r="O53" s="151"/>
      <c r="P53" s="151"/>
      <c r="Q53" s="151"/>
    </row>
    <row r="54" spans="1:17" x14ac:dyDescent="0.25">
      <c r="A54" s="507" t="s">
        <v>246</v>
      </c>
      <c r="G54" s="239" t="s">
        <v>389</v>
      </c>
      <c r="H54" s="151"/>
      <c r="I54" s="151"/>
      <c r="J54" s="151"/>
      <c r="K54" s="151"/>
      <c r="L54" s="151"/>
      <c r="M54" s="150" t="s">
        <v>364</v>
      </c>
      <c r="N54" s="151"/>
      <c r="O54" s="151"/>
      <c r="P54" s="151"/>
      <c r="Q54" s="151"/>
    </row>
    <row r="55" spans="1:17" x14ac:dyDescent="0.25">
      <c r="A55" s="508" t="s">
        <v>249</v>
      </c>
      <c r="G55" s="239" t="s">
        <v>390</v>
      </c>
      <c r="H55" s="149"/>
      <c r="I55" s="149"/>
      <c r="J55" s="149"/>
      <c r="K55" s="149"/>
      <c r="L55" s="149"/>
      <c r="M55" s="151" t="s">
        <v>367</v>
      </c>
      <c r="N55" s="149"/>
      <c r="O55" s="149"/>
      <c r="P55" s="149"/>
      <c r="Q55" s="149"/>
    </row>
    <row r="56" spans="1:17" x14ac:dyDescent="0.25">
      <c r="A56" s="509" t="s">
        <v>251</v>
      </c>
      <c r="M56" s="151" t="s">
        <v>376</v>
      </c>
    </row>
    <row r="57" spans="1:17" x14ac:dyDescent="0.25">
      <c r="A57" s="411" t="s">
        <v>253</v>
      </c>
      <c r="M57" s="151" t="s">
        <v>363</v>
      </c>
    </row>
    <row r="58" spans="1:17" x14ac:dyDescent="0.25">
      <c r="A58" s="411" t="s">
        <v>1665</v>
      </c>
      <c r="M58" s="151" t="s">
        <v>370</v>
      </c>
    </row>
    <row r="59" spans="1:17" x14ac:dyDescent="0.25">
      <c r="A59" s="411" t="s">
        <v>255</v>
      </c>
      <c r="M59" s="151" t="s">
        <v>381</v>
      </c>
    </row>
    <row r="60" spans="1:17" x14ac:dyDescent="0.25">
      <c r="A60" s="411" t="s">
        <v>257</v>
      </c>
      <c r="M60" s="151" t="s">
        <v>592</v>
      </c>
    </row>
    <row r="61" spans="1:17" x14ac:dyDescent="0.25">
      <c r="A61" s="506" t="s">
        <v>1417</v>
      </c>
      <c r="M61" s="151" t="s">
        <v>1023</v>
      </c>
    </row>
    <row r="62" spans="1:17" x14ac:dyDescent="0.25">
      <c r="A62" s="411" t="s">
        <v>261</v>
      </c>
      <c r="M62" s="151" t="s">
        <v>1024</v>
      </c>
    </row>
    <row r="63" spans="1:17" x14ac:dyDescent="0.25">
      <c r="A63" s="411" t="s">
        <v>263</v>
      </c>
      <c r="M63" s="151" t="s">
        <v>1025</v>
      </c>
    </row>
    <row r="64" spans="1:17" x14ac:dyDescent="0.25">
      <c r="A64" s="506" t="s">
        <v>265</v>
      </c>
      <c r="M64" s="151" t="s">
        <v>1026</v>
      </c>
    </row>
    <row r="65" spans="1:13" x14ac:dyDescent="0.25">
      <c r="A65" s="411" t="s">
        <v>267</v>
      </c>
    </row>
    <row r="66" spans="1:13" x14ac:dyDescent="0.25">
      <c r="A66" s="411" t="s">
        <v>269</v>
      </c>
    </row>
    <row r="67" spans="1:13" x14ac:dyDescent="0.25">
      <c r="A67" s="411" t="s">
        <v>271</v>
      </c>
    </row>
    <row r="68" spans="1:13" x14ac:dyDescent="0.25">
      <c r="A68" s="506" t="s">
        <v>273</v>
      </c>
      <c r="M68" s="151"/>
    </row>
    <row r="69" spans="1:13" x14ac:dyDescent="0.25">
      <c r="A69" s="506" t="s">
        <v>275</v>
      </c>
    </row>
    <row r="70" spans="1:13" x14ac:dyDescent="0.25">
      <c r="A70" s="510" t="s">
        <v>278</v>
      </c>
    </row>
    <row r="71" spans="1:13" x14ac:dyDescent="0.25">
      <c r="A71" s="510" t="s">
        <v>280</v>
      </c>
    </row>
    <row r="72" spans="1:13" x14ac:dyDescent="0.25">
      <c r="A72" s="510" t="s">
        <v>282</v>
      </c>
    </row>
    <row r="73" spans="1:13" x14ac:dyDescent="0.25">
      <c r="A73" s="506" t="s">
        <v>284</v>
      </c>
    </row>
    <row r="74" spans="1:13" x14ac:dyDescent="0.25">
      <c r="A74" s="506" t="s">
        <v>286</v>
      </c>
    </row>
    <row r="75" spans="1:13" x14ac:dyDescent="0.25">
      <c r="A75" s="411" t="s">
        <v>288</v>
      </c>
    </row>
    <row r="76" spans="1:13" x14ac:dyDescent="0.25">
      <c r="A76" s="411" t="s">
        <v>290</v>
      </c>
    </row>
    <row r="77" spans="1:13" x14ac:dyDescent="0.25">
      <c r="A77" s="506" t="s">
        <v>292</v>
      </c>
    </row>
    <row r="78" spans="1:13" x14ac:dyDescent="0.25">
      <c r="A78" s="411" t="s">
        <v>294</v>
      </c>
    </row>
  </sheetData>
  <sortState xmlns:xlrd2="http://schemas.microsoft.com/office/spreadsheetml/2017/richdata2" ref="M30:M61">
    <sortCondition ref="M30:M61"/>
  </sortState>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A866-3FF1-4603-B991-C4DE692DBC9B}">
  <dimension ref="A1:R48"/>
  <sheetViews>
    <sheetView topLeftCell="A23" workbookViewId="0">
      <selection activeCell="B33" sqref="B33"/>
    </sheetView>
  </sheetViews>
  <sheetFormatPr defaultRowHeight="15" x14ac:dyDescent="0.25"/>
  <cols>
    <col min="1" max="1" width="23.42578125" bestFit="1" customWidth="1"/>
    <col min="15" max="15" width="23.42578125" bestFit="1" customWidth="1"/>
    <col min="17" max="17" width="21.140625" customWidth="1"/>
    <col min="18" max="18" width="24.140625" customWidth="1"/>
  </cols>
  <sheetData>
    <row r="1" spans="1:18" x14ac:dyDescent="0.25">
      <c r="A1" t="s">
        <v>343</v>
      </c>
      <c r="B1" t="s">
        <v>344</v>
      </c>
      <c r="C1" t="s">
        <v>217</v>
      </c>
      <c r="O1" t="s">
        <v>343</v>
      </c>
    </row>
    <row r="2" spans="1:18" x14ac:dyDescent="0.25">
      <c r="A2" s="136" t="s">
        <v>345</v>
      </c>
      <c r="B2" s="136"/>
      <c r="C2" s="136"/>
      <c r="D2" s="136"/>
      <c r="E2" s="136"/>
      <c r="F2" s="136"/>
      <c r="G2" s="136"/>
      <c r="H2" s="136"/>
      <c r="I2" s="136"/>
      <c r="J2" s="136"/>
      <c r="K2" s="136"/>
    </row>
    <row r="3" spans="1:18" x14ac:dyDescent="0.25">
      <c r="A3" s="137">
        <v>1</v>
      </c>
      <c r="B3" s="92">
        <f>'HE-PY26 Pricing'!$E$49</f>
        <v>4140</v>
      </c>
      <c r="C3" s="147">
        <f>'HE-PY26 Pricing'!$C$49</f>
        <v>4600</v>
      </c>
      <c r="O3" t="s">
        <v>346</v>
      </c>
      <c r="P3" s="44" t="s">
        <v>307</v>
      </c>
      <c r="Q3" s="113" t="s">
        <v>319</v>
      </c>
      <c r="R3" s="113" t="s">
        <v>325</v>
      </c>
    </row>
    <row r="4" spans="1:18" x14ac:dyDescent="0.25">
      <c r="A4" s="137">
        <v>40001</v>
      </c>
      <c r="B4" s="92">
        <f>'HE-PY26 Pricing'!$E$50</f>
        <v>4275</v>
      </c>
      <c r="C4" s="147">
        <f>'HE-PY26 Pricing'!$C$50</f>
        <v>4750</v>
      </c>
      <c r="O4" t="s">
        <v>347</v>
      </c>
      <c r="P4" s="44" t="s">
        <v>309</v>
      </c>
      <c r="Q4" s="113" t="s">
        <v>320</v>
      </c>
      <c r="R4" s="113" t="s">
        <v>326</v>
      </c>
    </row>
    <row r="5" spans="1:18" x14ac:dyDescent="0.25">
      <c r="A5" s="137">
        <v>60001</v>
      </c>
      <c r="B5" s="92">
        <f>'HE-PY26 Pricing'!$E$51</f>
        <v>4455</v>
      </c>
      <c r="C5" s="147">
        <f>'HE-PY26 Pricing'!$C$51</f>
        <v>4950</v>
      </c>
      <c r="O5" t="s">
        <v>348</v>
      </c>
      <c r="P5" s="44" t="s">
        <v>310</v>
      </c>
      <c r="Q5" s="113" t="s">
        <v>321</v>
      </c>
      <c r="R5" s="113" t="s">
        <v>327</v>
      </c>
    </row>
    <row r="6" spans="1:18" x14ac:dyDescent="0.25">
      <c r="A6" s="137">
        <v>80001</v>
      </c>
      <c r="B6" s="92">
        <f>'HE-PY26 Pricing'!$E$52</f>
        <v>4590</v>
      </c>
      <c r="C6" s="147">
        <f>'HE-PY26 Pricing'!$C$52</f>
        <v>5100</v>
      </c>
      <c r="O6" t="s">
        <v>349</v>
      </c>
      <c r="P6" s="44" t="s">
        <v>311</v>
      </c>
      <c r="Q6" s="138"/>
      <c r="R6" s="138"/>
    </row>
    <row r="7" spans="1:18" x14ac:dyDescent="0.25">
      <c r="A7" s="139">
        <v>100001</v>
      </c>
      <c r="B7" s="92">
        <f>'HE-PY26 Pricing'!$E$53</f>
        <v>4770</v>
      </c>
      <c r="C7" s="147">
        <f>'HE-PY26 Pricing'!$C$53</f>
        <v>5300</v>
      </c>
      <c r="O7" t="s">
        <v>350</v>
      </c>
      <c r="P7" s="44" t="s">
        <v>312</v>
      </c>
      <c r="Q7" s="138"/>
      <c r="R7" s="138"/>
    </row>
    <row r="8" spans="1:18" x14ac:dyDescent="0.25">
      <c r="A8" s="139"/>
      <c r="B8" s="96"/>
      <c r="C8" s="94"/>
      <c r="O8" t="s">
        <v>306</v>
      </c>
      <c r="P8" s="44" t="s">
        <v>313</v>
      </c>
      <c r="Q8" s="138"/>
      <c r="R8" s="138"/>
    </row>
    <row r="9" spans="1:18" x14ac:dyDescent="0.25">
      <c r="A9" s="136" t="s">
        <v>351</v>
      </c>
      <c r="B9" s="136"/>
      <c r="C9" s="136"/>
      <c r="D9" s="136"/>
      <c r="E9" s="136"/>
      <c r="F9" s="136"/>
      <c r="G9" s="136"/>
      <c r="H9" s="136"/>
      <c r="I9" s="136"/>
      <c r="J9" s="136"/>
      <c r="K9" s="136"/>
      <c r="P9" s="44" t="s">
        <v>314</v>
      </c>
      <c r="Q9" s="138"/>
      <c r="R9" s="138"/>
    </row>
    <row r="10" spans="1:18" x14ac:dyDescent="0.25">
      <c r="A10" s="53">
        <v>1</v>
      </c>
      <c r="B10" s="92">
        <f>'HE-PY26 Pricing'!E55</f>
        <v>7245</v>
      </c>
      <c r="C10" s="90">
        <f>'HE-PY26 Pricing'!C55</f>
        <v>8050</v>
      </c>
      <c r="P10" s="44" t="s">
        <v>315</v>
      </c>
    </row>
    <row r="11" spans="1:18" x14ac:dyDescent="0.25">
      <c r="A11" s="53">
        <v>40001</v>
      </c>
      <c r="B11" s="92">
        <f>'HE-PY26 Pricing'!E56</f>
        <v>7470</v>
      </c>
      <c r="C11" s="90">
        <f>'HE-PY26 Pricing'!C56</f>
        <v>8300</v>
      </c>
    </row>
    <row r="12" spans="1:18" x14ac:dyDescent="0.25">
      <c r="A12" s="53">
        <v>60001</v>
      </c>
      <c r="B12" s="92">
        <f>'HE-PY26 Pricing'!E57</f>
        <v>7695</v>
      </c>
      <c r="C12" s="90">
        <f>'HE-PY26 Pricing'!C57</f>
        <v>8550</v>
      </c>
    </row>
    <row r="13" spans="1:18" x14ac:dyDescent="0.25">
      <c r="A13" s="53">
        <v>80001</v>
      </c>
      <c r="B13" s="92">
        <f>'HE-PY26 Pricing'!E58</f>
        <v>7965</v>
      </c>
      <c r="C13" s="90">
        <f>'HE-PY26 Pricing'!C58</f>
        <v>8850</v>
      </c>
    </row>
    <row r="14" spans="1:18" x14ac:dyDescent="0.25">
      <c r="A14" s="53">
        <v>100001</v>
      </c>
      <c r="B14" s="92">
        <f>'HE-PY26 Pricing'!E59</f>
        <v>8280</v>
      </c>
      <c r="C14" s="90">
        <f>'HE-PY26 Pricing'!C59</f>
        <v>9200</v>
      </c>
    </row>
    <row r="15" spans="1:18" x14ac:dyDescent="0.25">
      <c r="A15" s="54">
        <v>120001</v>
      </c>
      <c r="B15" s="92">
        <f>'HE-PY26 Pricing'!E60</f>
        <v>8505</v>
      </c>
      <c r="C15" s="94">
        <f>'HE-PY26 Pricing'!C60</f>
        <v>9450</v>
      </c>
    </row>
    <row r="16" spans="1:18" x14ac:dyDescent="0.25">
      <c r="A16" s="136" t="s">
        <v>352</v>
      </c>
      <c r="B16" s="136"/>
      <c r="C16" s="136"/>
      <c r="D16" s="136"/>
      <c r="E16" s="136"/>
      <c r="F16" s="136"/>
      <c r="G16" s="136"/>
      <c r="H16" s="136"/>
      <c r="I16" s="136"/>
      <c r="J16" s="136"/>
      <c r="K16" s="136"/>
      <c r="O16" t="s">
        <v>353</v>
      </c>
      <c r="P16" t="s">
        <v>352</v>
      </c>
    </row>
    <row r="17" spans="1:16" x14ac:dyDescent="0.25">
      <c r="A17" s="53">
        <v>1</v>
      </c>
      <c r="B17" s="92">
        <f>'HE-PY26 Pricing'!$E$49</f>
        <v>4140</v>
      </c>
      <c r="C17" s="147">
        <f>'HE-PY26 Pricing'!$C$49</f>
        <v>4600</v>
      </c>
      <c r="O17" t="s">
        <v>354</v>
      </c>
      <c r="P17" s="53" t="s">
        <v>347</v>
      </c>
    </row>
    <row r="18" spans="1:16" x14ac:dyDescent="0.25">
      <c r="A18" s="53">
        <v>40001</v>
      </c>
      <c r="B18" s="92">
        <f>'HE-PY26 Pricing'!$E$50</f>
        <v>4275</v>
      </c>
      <c r="C18" s="147">
        <f>'HE-PY26 Pricing'!$C$50</f>
        <v>4750</v>
      </c>
    </row>
    <row r="19" spans="1:16" x14ac:dyDescent="0.25">
      <c r="A19" s="53">
        <v>60001</v>
      </c>
      <c r="B19" s="92">
        <f>'HE-PY26 Pricing'!$E$51</f>
        <v>4455</v>
      </c>
      <c r="C19" s="147">
        <f>'HE-PY26 Pricing'!$C$51</f>
        <v>4950</v>
      </c>
    </row>
    <row r="20" spans="1:16" x14ac:dyDescent="0.25">
      <c r="A20" s="53">
        <v>80001</v>
      </c>
      <c r="B20" s="92">
        <f>'HE-PY26 Pricing'!$E$52</f>
        <v>4590</v>
      </c>
      <c r="C20" s="147">
        <f>'HE-PY26 Pricing'!$C$52</f>
        <v>5100</v>
      </c>
    </row>
    <row r="21" spans="1:16" x14ac:dyDescent="0.25">
      <c r="A21" s="53">
        <v>100001</v>
      </c>
      <c r="B21" s="92">
        <f>'HE-PY26 Pricing'!$E$53</f>
        <v>4770</v>
      </c>
      <c r="C21" s="147">
        <f>'HE-PY26 Pricing'!$C$53</f>
        <v>5300</v>
      </c>
    </row>
    <row r="22" spans="1:16" x14ac:dyDescent="0.25">
      <c r="A22" s="54"/>
      <c r="B22" s="140"/>
      <c r="C22" s="94"/>
    </row>
    <row r="23" spans="1:16" ht="45" x14ac:dyDescent="0.25">
      <c r="A23" s="143" t="s">
        <v>492</v>
      </c>
      <c r="B23" s="136"/>
      <c r="C23" s="136"/>
      <c r="D23" s="136"/>
      <c r="E23" s="136"/>
      <c r="F23" s="136"/>
      <c r="G23" s="136"/>
      <c r="H23" s="136"/>
      <c r="I23" s="136"/>
      <c r="J23" s="136"/>
      <c r="K23" s="136"/>
    </row>
    <row r="24" spans="1:16" x14ac:dyDescent="0.25">
      <c r="A24" s="141">
        <v>1</v>
      </c>
      <c r="B24" s="92">
        <f>'HE-PY26 Pricing'!E62</f>
        <v>4365</v>
      </c>
      <c r="C24" s="90">
        <f>'HE-PY26 Pricing'!C62</f>
        <v>4850</v>
      </c>
    </row>
    <row r="25" spans="1:16" x14ac:dyDescent="0.25">
      <c r="A25" s="141">
        <v>18001</v>
      </c>
      <c r="B25" s="92">
        <f>'HE-PY26 Pricing'!E63</f>
        <v>4545</v>
      </c>
      <c r="C25" s="90">
        <f>'HE-PY26 Pricing'!C63</f>
        <v>5050</v>
      </c>
    </row>
    <row r="26" spans="1:16" x14ac:dyDescent="0.25">
      <c r="A26" s="141">
        <v>24001</v>
      </c>
      <c r="B26" s="92">
        <f>'HE-PY26 Pricing'!E64</f>
        <v>4725</v>
      </c>
      <c r="C26" s="90">
        <f>'HE-PY26 Pricing'!C64</f>
        <v>5250</v>
      </c>
    </row>
    <row r="27" spans="1:16" x14ac:dyDescent="0.25">
      <c r="A27" s="141">
        <v>30001</v>
      </c>
      <c r="B27" s="92">
        <f>'HE-PY26 Pricing'!E65</f>
        <v>5040</v>
      </c>
      <c r="C27" s="90">
        <f>'HE-PY26 Pricing'!C65</f>
        <v>5600</v>
      </c>
    </row>
    <row r="28" spans="1:16" x14ac:dyDescent="0.25">
      <c r="A28" s="141">
        <v>36001</v>
      </c>
      <c r="B28" s="92">
        <f>'HE-PY26 Pricing'!E66</f>
        <v>5400</v>
      </c>
      <c r="C28" s="90">
        <f>'HE-PY26 Pricing'!C66</f>
        <v>6000</v>
      </c>
    </row>
    <row r="29" spans="1:16" x14ac:dyDescent="0.25">
      <c r="A29" s="141">
        <v>42001</v>
      </c>
      <c r="B29" s="92">
        <f>'HE-PY26 Pricing'!E67</f>
        <v>5670</v>
      </c>
      <c r="C29" s="90">
        <f>'HE-PY26 Pricing'!C67</f>
        <v>6300</v>
      </c>
    </row>
    <row r="30" spans="1:16" x14ac:dyDescent="0.25">
      <c r="A30" s="141">
        <v>48001</v>
      </c>
      <c r="B30" s="92">
        <f>'HE-PY26 Pricing'!E68</f>
        <v>6030</v>
      </c>
      <c r="C30" s="90">
        <f>'HE-PY26 Pricing'!C68</f>
        <v>6700</v>
      </c>
    </row>
    <row r="31" spans="1:16" x14ac:dyDescent="0.25">
      <c r="A31" s="142">
        <v>54001</v>
      </c>
      <c r="B31" s="92">
        <f>'HE-PY26 Pricing'!E69</f>
        <v>6390</v>
      </c>
      <c r="C31" s="94">
        <f>'HE-PY26 Pricing'!C69</f>
        <v>7100</v>
      </c>
    </row>
    <row r="32" spans="1:16" ht="45" x14ac:dyDescent="0.25">
      <c r="A32" s="143" t="s">
        <v>493</v>
      </c>
      <c r="B32" s="136"/>
      <c r="C32" s="136"/>
      <c r="D32" s="136"/>
      <c r="E32" s="136" t="s">
        <v>71</v>
      </c>
      <c r="F32" s="136"/>
      <c r="G32" s="136"/>
      <c r="H32" s="136"/>
      <c r="I32" s="136"/>
      <c r="J32" s="136"/>
      <c r="K32" s="136"/>
    </row>
    <row r="33" spans="1:6" x14ac:dyDescent="0.25">
      <c r="A33" s="141">
        <v>1</v>
      </c>
      <c r="B33" s="92">
        <f>'HE-PY26 Pricing'!E72</f>
        <v>8730</v>
      </c>
      <c r="C33" s="90">
        <f>'HE-PY26 Pricing'!C72</f>
        <v>9700</v>
      </c>
    </row>
    <row r="34" spans="1:6" x14ac:dyDescent="0.25">
      <c r="A34" s="141">
        <v>18001</v>
      </c>
      <c r="B34" s="92">
        <f>'HE-PY26 Pricing'!E73</f>
        <v>9000</v>
      </c>
      <c r="C34" s="90">
        <f>'HE-PY26 Pricing'!C73</f>
        <v>10000</v>
      </c>
    </row>
    <row r="35" spans="1:6" x14ac:dyDescent="0.25">
      <c r="A35" s="141">
        <v>24001</v>
      </c>
      <c r="B35" s="92">
        <f>'HE-PY26 Pricing'!E74</f>
        <v>9270</v>
      </c>
      <c r="C35" s="90">
        <f>'HE-PY26 Pricing'!C74</f>
        <v>10300</v>
      </c>
    </row>
    <row r="36" spans="1:6" x14ac:dyDescent="0.25">
      <c r="A36" s="141">
        <v>30001</v>
      </c>
      <c r="B36" s="92">
        <f>'HE-PY26 Pricing'!E75</f>
        <v>9630</v>
      </c>
      <c r="C36" s="90">
        <f>'HE-PY26 Pricing'!C75</f>
        <v>10700</v>
      </c>
    </row>
    <row r="37" spans="1:6" x14ac:dyDescent="0.25">
      <c r="A37" s="141">
        <v>36001</v>
      </c>
      <c r="B37" s="92">
        <f>'HE-PY26 Pricing'!E76</f>
        <v>9810</v>
      </c>
      <c r="C37" s="90">
        <f>'HE-PY26 Pricing'!C76</f>
        <v>10900</v>
      </c>
    </row>
    <row r="38" spans="1:6" x14ac:dyDescent="0.25">
      <c r="A38" s="141">
        <v>42001</v>
      </c>
      <c r="B38" s="92">
        <f>'HE-PY26 Pricing'!E77</f>
        <v>10395</v>
      </c>
      <c r="C38" s="90">
        <f>'HE-PY26 Pricing'!C77</f>
        <v>11550</v>
      </c>
    </row>
    <row r="39" spans="1:6" x14ac:dyDescent="0.25">
      <c r="A39" s="141">
        <v>48001</v>
      </c>
      <c r="B39" s="92">
        <f>'HE-PY26 Pricing'!E78</f>
        <v>10980</v>
      </c>
      <c r="C39" s="90">
        <f>'HE-PY26 Pricing'!C78</f>
        <v>12200</v>
      </c>
    </row>
    <row r="40" spans="1:6" x14ac:dyDescent="0.25">
      <c r="A40" s="142">
        <v>54001</v>
      </c>
      <c r="B40" s="92">
        <f>'HE-PY26 Pricing'!E79</f>
        <v>11115</v>
      </c>
      <c r="C40" s="94">
        <f>'HE-PY26 Pricing'!C79</f>
        <v>12350</v>
      </c>
    </row>
    <row r="41" spans="1:6" ht="15" customHeight="1" x14ac:dyDescent="0.25">
      <c r="A41" s="136" t="s">
        <v>318</v>
      </c>
      <c r="B41" s="143"/>
      <c r="C41" s="143"/>
      <c r="D41" s="143"/>
      <c r="E41" s="143"/>
      <c r="F41" s="143"/>
    </row>
    <row r="42" spans="1:6" x14ac:dyDescent="0.25">
      <c r="A42" s="144">
        <v>1</v>
      </c>
      <c r="B42" s="107">
        <f>'HE-PY26 Pricing'!E85</f>
        <v>4590</v>
      </c>
      <c r="C42" s="90">
        <f>'HE-PY26 Pricing'!C85</f>
        <v>5100</v>
      </c>
    </row>
    <row r="43" spans="1:6" x14ac:dyDescent="0.25">
      <c r="A43" s="144">
        <v>50</v>
      </c>
      <c r="B43" s="107">
        <f>'HE-PY26 Pricing'!E86</f>
        <v>4725</v>
      </c>
      <c r="C43" s="90">
        <f>'HE-PY26 Pricing'!C86</f>
        <v>5250</v>
      </c>
    </row>
    <row r="44" spans="1:6" x14ac:dyDescent="0.25">
      <c r="A44" s="145">
        <v>60</v>
      </c>
      <c r="B44" s="107">
        <f>'HE-PY26 Pricing'!E87</f>
        <v>4905</v>
      </c>
      <c r="C44" s="94">
        <f>'HE-PY26 Pricing'!C87</f>
        <v>5450</v>
      </c>
    </row>
    <row r="45" spans="1:6" ht="15" customHeight="1" x14ac:dyDescent="0.25">
      <c r="A45" s="136" t="s">
        <v>324</v>
      </c>
      <c r="B45" s="143"/>
      <c r="C45" s="143"/>
      <c r="D45" s="143"/>
      <c r="E45" s="143"/>
      <c r="F45" s="143"/>
    </row>
    <row r="46" spans="1:6" x14ac:dyDescent="0.25">
      <c r="A46" s="144">
        <v>1</v>
      </c>
      <c r="B46" s="148">
        <f>'HE-PY26 Pricing'!E90</f>
        <v>570</v>
      </c>
      <c r="C46" s="90">
        <f>'HE-PY26 Pricing'!C90</f>
        <v>635</v>
      </c>
    </row>
    <row r="47" spans="1:6" x14ac:dyDescent="0.25">
      <c r="A47" s="144">
        <v>8000</v>
      </c>
      <c r="B47" s="148">
        <f>'HE-PY26 Pricing'!E91</f>
        <v>675</v>
      </c>
      <c r="C47" s="90">
        <f>'HE-PY26 Pricing'!C91</f>
        <v>750</v>
      </c>
    </row>
    <row r="48" spans="1:6" x14ac:dyDescent="0.25">
      <c r="A48" s="144">
        <v>12000</v>
      </c>
      <c r="B48" s="148">
        <f>'HE-PY26 Pricing'!E92</f>
        <v>830</v>
      </c>
      <c r="C48" s="90">
        <f>'HE-PY26 Pricing'!C92</f>
        <v>920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START HERE</vt:lpstr>
      <vt:lpstr>Manual J Updates</vt:lpstr>
      <vt:lpstr>Project Information</vt:lpstr>
      <vt:lpstr>Work Scope</vt:lpstr>
      <vt:lpstr>Data Entry TR Review</vt:lpstr>
      <vt:lpstr>Electrification</vt:lpstr>
      <vt:lpstr>Project Score</vt:lpstr>
      <vt:lpstr>Lists</vt:lpstr>
      <vt:lpstr>HVAC Tier 2 Incentive Table</vt:lpstr>
      <vt:lpstr>Ancillary Costs</vt:lpstr>
      <vt:lpstr>Disclaimer Form</vt:lpstr>
      <vt:lpstr>Test Form</vt:lpstr>
      <vt:lpstr>Old Test Form</vt:lpstr>
      <vt:lpstr>HVAC Test Form</vt:lpstr>
      <vt:lpstr>WH Bill Analysis</vt:lpstr>
      <vt:lpstr>Dashboard_FS (2)</vt:lpstr>
      <vt:lpstr>Algorithms_FS (2)</vt:lpstr>
      <vt:lpstr>Backup_FS (2)</vt:lpstr>
      <vt:lpstr>WNCF Form</vt:lpstr>
      <vt:lpstr>Measures</vt:lpstr>
      <vt:lpstr>HE-PY26 Pricing</vt:lpstr>
      <vt:lpstr>H&amp;S-PY26 Pricing</vt:lpstr>
      <vt:lpstr>Revisions</vt:lpstr>
      <vt:lpstr>'Ancillary Costs'!Print_Area</vt:lpstr>
      <vt:lpstr>'Disclaimer Form'!Print_Area</vt:lpstr>
      <vt:lpstr>Electrification!Print_Area</vt:lpstr>
      <vt:lpstr>'H&amp;S-PY26 Pricing'!Print_Area</vt:lpstr>
      <vt:lpstr>'HVAC Test Form'!Print_Area</vt:lpstr>
      <vt:lpstr>'Manual J Updates'!Print_Area</vt:lpstr>
      <vt:lpstr>'Old Test Form'!Print_Area</vt:lpstr>
      <vt:lpstr>'Project Information'!Print_Area</vt:lpstr>
      <vt:lpstr>'START HERE'!Print_Area</vt:lpstr>
      <vt:lpstr>'Test Form'!Print_Area</vt:lpstr>
      <vt:lpstr>'WH Bill Analysis'!Print_Area</vt:lpstr>
      <vt:lpstr>'WNCF Form'!Print_Area</vt:lpstr>
      <vt:lpstr>'Work Scope'!Print_Area</vt:lpstr>
      <vt:lpstr>'HE-PY26 Pricing'!Print_Titles</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Blum, Tucker H. [US-US]</cp:lastModifiedBy>
  <cp:lastPrinted>2026-06-16T19:03:19Z</cp:lastPrinted>
  <dcterms:created xsi:type="dcterms:W3CDTF">2022-12-29T22:42:10Z</dcterms:created>
  <dcterms:modified xsi:type="dcterms:W3CDTF">2026-06-17T20:13:35Z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